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workbookPassword="EF82" lockStructure="1"/>
  <bookViews>
    <workbookView xWindow="3135" yWindow="1695" windowWidth="9630" windowHeight="8550" tabRatio="599"/>
  </bookViews>
  <sheets>
    <sheet name="実施報告書兼請求書" sheetId="4" r:id="rId1"/>
    <sheet name="委託料一覧" sheetId="6" state="hidden" r:id="rId2"/>
  </sheets>
  <definedNames>
    <definedName name="_xlnm._FilterDatabase" localSheetId="1" hidden="1">委託料一覧!$A$5:$BI$33</definedName>
    <definedName name="_xlnm.Print_Area" localSheetId="0">実施報告書兼請求書!$A$1:$AL$67</definedName>
    <definedName name="_xlnm.Print_Area" localSheetId="1">委託料一覧!$A$1:$BM$33</definedName>
    <definedName name="_xlnm.Print_Titles" localSheetId="1">委託料一覧!$A:$B</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<sst xmlns="http://schemas.openxmlformats.org/spreadsheetml/2006/main" xmlns:r="http://schemas.openxmlformats.org/officeDocument/2006/relationships" count="354" uniqueCount="354">
  <si>
    <t>秋 田 県 広 域 予 防 接 種</t>
    <rPh sb="0" eb="1">
      <t>アキ</t>
    </rPh>
    <rPh sb="2" eb="3">
      <t>タ</t>
    </rPh>
    <rPh sb="4" eb="5">
      <t>ケン</t>
    </rPh>
    <rPh sb="6" eb="7">
      <t>ヒロシ</t>
    </rPh>
    <rPh sb="8" eb="9">
      <t>イキ</t>
    </rPh>
    <rPh sb="10" eb="11">
      <t>ヨ</t>
    </rPh>
    <rPh sb="12" eb="13">
      <t>ボウ</t>
    </rPh>
    <rPh sb="14" eb="15">
      <t>セッ</t>
    </rPh>
    <rPh sb="16" eb="17">
      <t>タネ</t>
    </rPh>
    <phoneticPr fontId="20"/>
  </si>
  <si>
    <t>電話：</t>
    <rPh sb="0" eb="2">
      <t>デンワ</t>
    </rPh>
    <phoneticPr fontId="20"/>
  </si>
  <si>
    <t>（宛先）</t>
  </si>
  <si>
    <t>hoken@town.akita-misato.lg.jp</t>
  </si>
  <si>
    <t>生後90月以上</t>
    <rPh sb="5" eb="7">
      <t>イジョウ</t>
    </rPh>
    <phoneticPr fontId="20"/>
  </si>
  <si>
    <t xml:space="preserve"> 金 融 機 関 名</t>
    <rPh sb="1" eb="2">
      <t>カネ</t>
    </rPh>
    <rPh sb="3" eb="4">
      <t>ユウ</t>
    </rPh>
    <rPh sb="5" eb="6">
      <t>キ</t>
    </rPh>
    <rPh sb="7" eb="8">
      <t>セキ</t>
    </rPh>
    <rPh sb="9" eb="10">
      <t>メイ</t>
    </rPh>
    <phoneticPr fontId="20" alignment="distributed"/>
  </si>
  <si>
    <t>日</t>
    <rPh sb="0" eb="1">
      <t>ヒ</t>
    </rPh>
    <phoneticPr fontId="20"/>
  </si>
  <si>
    <t>0186-62-6666</t>
  </si>
  <si>
    <t>令和</t>
    <rPh sb="0" eb="2">
      <t>レイワ</t>
    </rPh>
    <phoneticPr fontId="20"/>
  </si>
  <si>
    <t>請求者の押印要否 及び 風しん第５期の請求方法は、各市町村担当課所に確認してください（上の注意事項</t>
    <rPh sb="9" eb="10">
      <t>オヨ</t>
    </rPh>
    <rPh sb="12" eb="13">
      <t>フウ</t>
    </rPh>
    <rPh sb="15" eb="16">
      <t>ダイ</t>
    </rPh>
    <rPh sb="17" eb="18">
      <t>キ</t>
    </rPh>
    <rPh sb="21" eb="23">
      <t>ホウホウ</t>
    </rPh>
    <rPh sb="25" eb="26">
      <t>カク</t>
    </rPh>
    <phoneticPr fontId="20"/>
  </si>
  <si>
    <t>Ｈ ｉ ｂ 感 染 症</t>
    <rPh sb="6" eb="7">
      <t>カン</t>
    </rPh>
    <rPh sb="8" eb="9">
      <t>ソメ</t>
    </rPh>
    <rPh sb="10" eb="11">
      <t>ショウ</t>
    </rPh>
    <phoneticPr fontId="20"/>
  </si>
  <si>
    <t>第2期 6歳児</t>
    <rPh sb="0" eb="2">
      <t>ダイニ</t>
    </rPh>
    <rPh sb="2" eb="3">
      <t>キ</t>
    </rPh>
    <phoneticPr fontId="20"/>
  </si>
  <si>
    <t>【インフルエンザ（高齢者）・高齢者用肺炎球菌】 生保は各医療機関接種料金による。他の予防接種と請求書を分ける。</t>
  </si>
  <si>
    <t>019-1541</t>
  </si>
  <si>
    <t>五城目町長　様</t>
  </si>
  <si>
    <t>実施報告書　兼　請求書</t>
    <rPh sb="0" eb="2">
      <t>ジッシ</t>
    </rPh>
    <rPh sb="2" eb="5">
      <t>ホウコクショ</t>
    </rPh>
    <rPh sb="6" eb="7">
      <t>ケン</t>
    </rPh>
    <rPh sb="8" eb="11">
      <t>セイキュウショ</t>
    </rPh>
    <phoneticPr fontId="20"/>
  </si>
  <si>
    <t>予　　診　　料</t>
  </si>
  <si>
    <t>三　種　混　合
（ＤＰＴ）</t>
    <rPh sb="0" eb="1">
      <t>サン</t>
    </rPh>
    <rPh sb="2" eb="3">
      <t>タネ</t>
    </rPh>
    <rPh sb="4" eb="5">
      <t>コン</t>
    </rPh>
    <rPh sb="6" eb="7">
      <t>ゴウ</t>
    </rPh>
    <phoneticPr fontId="20"/>
  </si>
  <si>
    <t>横手市長　様</t>
  </si>
  <si>
    <t>年</t>
    <rPh sb="0" eb="1">
      <t>ネン</t>
    </rPh>
    <phoneticPr fontId="20"/>
  </si>
  <si>
    <t>月</t>
    <rPh sb="0" eb="1">
      <t>ガツ</t>
    </rPh>
    <phoneticPr fontId="20"/>
  </si>
  <si>
    <t>0185-27-8420</t>
  </si>
  <si>
    <t>山本郡藤里町藤琴字藤琴８</t>
    <rPh sb="0" eb="3">
      <t>ヤマモトグン</t>
    </rPh>
    <phoneticPr fontId="20"/>
  </si>
  <si>
    <t/>
  </si>
  <si>
    <t>【インフルエンザ（高齢者）】生活保護受給者は全額を助成。他の予防接種と請求書を分ける。
【高齢者用肺炎球菌】 生活保護受給者は全額を助成。他の予防接種と請求書を分ける。</t>
  </si>
  <si>
    <t>【インフルエンザ（高齢者）・高齢者用肺炎球菌】 生活保護法による被保護世帯に属する者は接種料金無料</t>
    <rPh sb="14" eb="17">
      <t>コウレイシャ</t>
    </rPh>
    <rPh sb="24" eb="26">
      <t>セイカツ</t>
    </rPh>
    <rPh sb="26" eb="29">
      <t>ホゴホウ</t>
    </rPh>
    <rPh sb="32" eb="33">
      <t>ヒ</t>
    </rPh>
    <rPh sb="33" eb="35">
      <t>ホゴ</t>
    </rPh>
    <rPh sb="35" eb="37">
      <t>セタイ</t>
    </rPh>
    <rPh sb="38" eb="39">
      <t>ゾク</t>
    </rPh>
    <rPh sb="41" eb="42">
      <t>モノ</t>
    </rPh>
    <rPh sb="43" eb="45">
      <t>セッシュ</t>
    </rPh>
    <rPh sb="45" eb="47">
      <t>リョウキン</t>
    </rPh>
    <rPh sb="47" eb="49">
      <t>ムリョウ</t>
    </rPh>
    <phoneticPr fontId="20"/>
  </si>
  <si>
    <t>結　核　（ＢＣＧ）</t>
    <rPh sb="0" eb="1">
      <t>ケッ</t>
    </rPh>
    <rPh sb="2" eb="3">
      <t>カク</t>
    </rPh>
    <phoneticPr fontId="20"/>
  </si>
  <si>
    <t>高齢者用肺炎球菌</t>
    <rPh sb="0" eb="3">
      <t>コウレイシャ</t>
    </rPh>
    <rPh sb="3" eb="4">
      <t>ヨウ</t>
    </rPh>
    <rPh sb="4" eb="6">
      <t>ハイエン</t>
    </rPh>
    <rPh sb="6" eb="8">
      <t>キュウキン</t>
    </rPh>
    <phoneticPr fontId="20"/>
  </si>
  <si>
    <t>無し</t>
    <rPh sb="0" eb="1">
      <t>ナ</t>
    </rPh>
    <phoneticPr fontId="20"/>
  </si>
  <si>
    <t>←（宛先）から市町村をプルダウンメニューで選択してください。単価等が表示されます。</t>
    <rPh sb="2" eb="3">
      <t>ア</t>
    </rPh>
    <rPh sb="3" eb="4">
      <t>サキ</t>
    </rPh>
    <rPh sb="7" eb="10">
      <t>シチョウソン</t>
    </rPh>
    <rPh sb="21" eb="23">
      <t>センタク</t>
    </rPh>
    <rPh sb="30" eb="32">
      <t>タンカ</t>
    </rPh>
    <rPh sb="32" eb="33">
      <t>トウ</t>
    </rPh>
    <rPh sb="34" eb="36">
      <t>ヒョウジ</t>
    </rPh>
    <phoneticPr fontId="20"/>
  </si>
  <si>
    <t>医療機関名</t>
    <rPh sb="0" eb="5">
      <t>イリョウキカンメイ</t>
    </rPh>
    <phoneticPr fontId="20"/>
  </si>
  <si>
    <t>小 児 用 肺 炎 球 菌</t>
    <rPh sb="0" eb="1">
      <t>ショウ</t>
    </rPh>
    <rPh sb="2" eb="3">
      <t>コ</t>
    </rPh>
    <rPh sb="4" eb="5">
      <t>ヨウ</t>
    </rPh>
    <rPh sb="6" eb="7">
      <t>ハイ</t>
    </rPh>
    <rPh sb="8" eb="9">
      <t>ホノオ</t>
    </rPh>
    <rPh sb="10" eb="11">
      <t>タマ</t>
    </rPh>
    <rPh sb="12" eb="13">
      <t>キン</t>
    </rPh>
    <phoneticPr fontId="20"/>
  </si>
  <si>
    <t>：</t>
  </si>
  <si>
    <t>インフルエンザ
（高齢者）</t>
  </si>
  <si>
    <t>保健センター　渡辺　祥達</t>
    <rPh sb="0" eb="2">
      <t>ホケン</t>
    </rPh>
    <rPh sb="7" eb="9">
      <t>ワタナベ</t>
    </rPh>
    <rPh sb="10" eb="12">
      <t>ヨシタツ</t>
    </rPh>
    <phoneticPr fontId="20"/>
  </si>
  <si>
    <t>【 振 込 先 】</t>
    <rPh sb="2" eb="3">
      <t>ブルイ</t>
    </rPh>
    <rPh sb="4" eb="5">
      <t>コミ</t>
    </rPh>
    <rPh sb="6" eb="7">
      <t>サキ</t>
    </rPh>
    <phoneticPr fontId="20" alignment="distributed"/>
  </si>
  <si>
    <t>潟上市天王字棒沼台２２６－１</t>
    <rPh sb="0" eb="3">
      <t>カタガミシ</t>
    </rPh>
    <rPh sb="3" eb="5">
      <t>テンノウ</t>
    </rPh>
    <rPh sb="5" eb="6">
      <t>ジ</t>
    </rPh>
    <rPh sb="6" eb="7">
      <t>ボウ</t>
    </rPh>
    <rPh sb="7" eb="9">
      <t>ヌマダイ</t>
    </rPh>
    <phoneticPr fontId="20"/>
  </si>
  <si>
    <t>所在地</t>
    <rPh sb="0" eb="1">
      <t>トコロ</t>
    </rPh>
    <rPh sb="1" eb="2">
      <t>ザイ</t>
    </rPh>
    <rPh sb="2" eb="3">
      <t>チ</t>
    </rPh>
    <phoneticPr fontId="20"/>
  </si>
  <si>
    <t>（実施報告書兼請求書の元データ）</t>
    <rPh sb="1" eb="3">
      <t>ジッシ</t>
    </rPh>
    <rPh sb="3" eb="6">
      <t>ホウコクショ</t>
    </rPh>
    <rPh sb="6" eb="7">
      <t>ケン</t>
    </rPh>
    <rPh sb="7" eb="10">
      <t>セイキュウショ</t>
    </rPh>
    <rPh sb="11" eb="12">
      <t>モト</t>
    </rPh>
    <phoneticPr fontId="20"/>
  </si>
  <si>
    <t>氏名</t>
    <rPh sb="0" eb="1">
      <t>シ</t>
    </rPh>
    <rPh sb="1" eb="2">
      <t>メイ</t>
    </rPh>
    <phoneticPr fontId="20"/>
  </si>
  <si>
    <t xml:space="preserve"> 預 金 種 別</t>
    <rPh sb="1" eb="2">
      <t>アズカリ</t>
    </rPh>
    <rPh sb="3" eb="4">
      <t>カネ</t>
    </rPh>
    <rPh sb="5" eb="6">
      <t>タネ</t>
    </rPh>
    <rPh sb="7" eb="8">
      <t>ベツ</t>
    </rPh>
    <phoneticPr fontId="20" alignment="distributed"/>
  </si>
  <si>
    <t>0185-79-2113</t>
  </si>
  <si>
    <t>インフルエンザの実施期間は10月～2月</t>
  </si>
  <si>
    <t>014-0392</t>
  </si>
  <si>
    <t>金　額　(A)×(B)</t>
    <rPh sb="0" eb="1">
      <t>コン</t>
    </rPh>
    <rPh sb="2" eb="3">
      <t>ガク</t>
    </rPh>
    <phoneticPr fontId="20" alignment="distributed"/>
  </si>
  <si>
    <t>大館市字三ノ丸５５</t>
    <rPh sb="0" eb="3">
      <t>オオダテシ</t>
    </rPh>
    <rPh sb="3" eb="4">
      <t>アザ</t>
    </rPh>
    <rPh sb="4" eb="5">
      <t>サン</t>
    </rPh>
    <rPh sb="6" eb="7">
      <t>マル</t>
    </rPh>
    <phoneticPr fontId="20"/>
  </si>
  <si>
    <t>ksk-health@town.kosaka.lg.jp</t>
  </si>
  <si>
    <t>予診票</t>
    <rPh sb="0" eb="3">
      <t>ヨシンヒョウ</t>
    </rPh>
    <phoneticPr fontId="20"/>
  </si>
  <si>
    <t>日　本　脳　炎</t>
    <rPh sb="0" eb="1">
      <t>ニチ</t>
    </rPh>
    <rPh sb="2" eb="3">
      <t>ホン</t>
    </rPh>
    <rPh sb="4" eb="5">
      <t>ノウ</t>
    </rPh>
    <rPh sb="6" eb="7">
      <t>エン</t>
    </rPh>
    <phoneticPr fontId="20"/>
  </si>
  <si>
    <t>中村　美咲</t>
    <rPh sb="0" eb="2">
      <t>ナカムラ</t>
    </rPh>
    <rPh sb="3" eb="5">
      <t>ミサキ</t>
    </rPh>
    <phoneticPr fontId="20"/>
  </si>
  <si>
    <t>秋田市内の医療機関　インフルエンザの実施期間は10月～2月</t>
    <rPh sb="0" eb="3">
      <t>アキタシ</t>
    </rPh>
    <rPh sb="3" eb="4">
      <t>ナイ</t>
    </rPh>
    <rPh sb="5" eb="7">
      <t>イリョウ</t>
    </rPh>
    <rPh sb="7" eb="9">
      <t>キカン</t>
    </rPh>
    <rPh sb="18" eb="20">
      <t>ジッシ</t>
    </rPh>
    <rPh sb="20" eb="22">
      <t>キカン</t>
    </rPh>
    <rPh sb="25" eb="26">
      <t>ガツ</t>
    </rPh>
    <rPh sb="28" eb="29">
      <t>ガツ</t>
    </rPh>
    <phoneticPr fontId="20"/>
  </si>
  <si>
    <t>定期予防接種にかかる</t>
    <rPh sb="0" eb="2">
      <t>テイキ</t>
    </rPh>
    <rPh sb="2" eb="4">
      <t>ヨボウ</t>
    </rPh>
    <rPh sb="4" eb="6">
      <t>セッシュ</t>
    </rPh>
    <phoneticPr fontId="20" alignment="distributed"/>
  </si>
  <si>
    <t>ロタウイルス感染症</t>
    <rPh sb="6" eb="9">
      <t>カンセンショウ</t>
    </rPh>
    <phoneticPr fontId="20"/>
  </si>
  <si>
    <t>月分</t>
    <rPh sb="0" eb="2">
      <t>ガツブン</t>
    </rPh>
    <phoneticPr fontId="20" alignment="distributed"/>
  </si>
  <si>
    <t>の委託料として、次のとおり請求します。</t>
    <rPh sb="1" eb="4">
      <t>イタクリョウ</t>
    </rPh>
    <rPh sb="8" eb="9">
      <t>ツギ</t>
    </rPh>
    <rPh sb="13" eb="15">
      <t>セイキュウ</t>
    </rPh>
    <phoneticPr fontId="20" alignment="distributed"/>
  </si>
  <si>
    <t>添付書類</t>
  </si>
  <si>
    <t>単　価　(B)</t>
    <rPh sb="0" eb="1">
      <t>タン</t>
    </rPh>
    <rPh sb="2" eb="3">
      <t>アタイ</t>
    </rPh>
    <phoneticPr fontId="20" alignment="distributed"/>
  </si>
  <si>
    <t>請求金額</t>
    <rPh sb="0" eb="2">
      <t>セイキュウ</t>
    </rPh>
    <rPh sb="2" eb="4">
      <t>キンガク</t>
    </rPh>
    <phoneticPr fontId="20"/>
  </si>
  <si>
    <t>【 内　訳 】</t>
    <rPh sb="2" eb="3">
      <t>ウチ</t>
    </rPh>
    <rPh sb="4" eb="5">
      <t>ヤク</t>
    </rPh>
    <phoneticPr fontId="20"/>
  </si>
  <si>
    <t>0185-76-4608</t>
  </si>
  <si>
    <t>インフルエンザの実施期間は10月～2月</t>
    <rPh sb="8" eb="10">
      <t>ジッシ</t>
    </rPh>
    <rPh sb="10" eb="12">
      <t>キカン</t>
    </rPh>
    <rPh sb="15" eb="16">
      <t>ガツ</t>
    </rPh>
    <rPh sb="18" eb="19">
      <t>ガツ</t>
    </rPh>
    <phoneticPr fontId="20"/>
  </si>
  <si>
    <t>円</t>
    <rPh sb="0" eb="1">
      <t>エン</t>
    </rPh>
    <phoneticPr fontId="20"/>
  </si>
  <si>
    <t>区　分</t>
    <rPh sb="0" eb="1">
      <t>ク</t>
    </rPh>
    <rPh sb="2" eb="3">
      <t>ブン</t>
    </rPh>
    <phoneticPr fontId="20"/>
  </si>
  <si>
    <t>0183-55-8275/
0183-73-2124</t>
  </si>
  <si>
    <t>種　類</t>
    <rPh sb="0" eb="1">
      <t>タネ</t>
    </rPh>
    <rPh sb="2" eb="3">
      <t>ルイ</t>
    </rPh>
    <phoneticPr fontId="20"/>
  </si>
  <si>
    <t>hokenkaigo@town.gojome.lg.jp</t>
  </si>
  <si>
    <t>水　痘</t>
    <rPh sb="0" eb="1">
      <t>ミズ</t>
    </rPh>
    <rPh sb="2" eb="3">
      <t>トウ</t>
    </rPh>
    <phoneticPr fontId="20"/>
  </si>
  <si>
    <t>件　数（人）　(A)</t>
    <rPh sb="0" eb="1">
      <t>ケン</t>
    </rPh>
    <rPh sb="2" eb="3">
      <t>カズ</t>
    </rPh>
    <rPh sb="4" eb="5">
      <t>ニン</t>
    </rPh>
    <phoneticPr fontId="20" alignment="distributed"/>
  </si>
  <si>
    <t>小児用
肺炎球菌</t>
    <rPh sb="0" eb="3">
      <t>ショウニヨウ</t>
    </rPh>
    <rPh sb="4" eb="6">
      <t>ハイエン</t>
    </rPh>
    <rPh sb="6" eb="8">
      <t>キュウキン</t>
    </rPh>
    <phoneticPr fontId="20"/>
  </si>
  <si>
    <t>市民福祉部　健康推進課</t>
    <rPh sb="0" eb="2">
      <t>シミン</t>
    </rPh>
    <rPh sb="2" eb="5">
      <t>フクシブ</t>
    </rPh>
    <rPh sb="6" eb="8">
      <t>ケンコウ</t>
    </rPh>
    <rPh sb="8" eb="11">
      <t>スイシンカ</t>
    </rPh>
    <phoneticPr fontId="20"/>
  </si>
  <si>
    <t>南秋田郡大潟村字中央１－１３</t>
    <rPh sb="0" eb="4">
      <t>ミナミアキタグン</t>
    </rPh>
    <rPh sb="4" eb="7">
      <t>オオガタムラ</t>
    </rPh>
    <rPh sb="7" eb="8">
      <t>アザ</t>
    </rPh>
    <rPh sb="8" eb="10">
      <t>チュウオウ</t>
    </rPh>
    <phoneticPr fontId="20"/>
  </si>
  <si>
    <t xml:space="preserve"> 本 ・ 支 店 名</t>
    <rPh sb="1" eb="2">
      <t>ホン</t>
    </rPh>
    <rPh sb="5" eb="6">
      <t>シ</t>
    </rPh>
    <rPh sb="7" eb="8">
      <t>ミセ</t>
    </rPh>
    <rPh sb="9" eb="10">
      <t>ナ</t>
    </rPh>
    <phoneticPr fontId="20" alignment="distributed"/>
  </si>
  <si>
    <t>0185-89-1679</t>
  </si>
  <si>
    <t>0186-42-9055</t>
  </si>
  <si>
    <t>四　種　混　合
（ＤＰＴ－ＩＰＶ）</t>
    <rPh sb="0" eb="1">
      <t>ヨン</t>
    </rPh>
    <rPh sb="2" eb="3">
      <t>シュ</t>
    </rPh>
    <rPh sb="4" eb="5">
      <t>コン</t>
    </rPh>
    <rPh sb="6" eb="7">
      <t>ゴウ</t>
    </rPh>
    <phoneticPr fontId="20"/>
  </si>
  <si>
    <t>麻　　し　　ん</t>
    <rPh sb="0" eb="1">
      <t>マ</t>
    </rPh>
    <phoneticPr fontId="20"/>
  </si>
  <si>
    <t>ro-hlhm@akita.city.lg.jp</t>
  </si>
  <si>
    <t>hoken@city.oga.lg.jp</t>
  </si>
  <si>
    <t>二　種　混　合　（ＤＴ）</t>
    <rPh sb="0" eb="1">
      <t>ニ</t>
    </rPh>
    <rPh sb="2" eb="3">
      <t>タネ</t>
    </rPh>
    <rPh sb="4" eb="5">
      <t>コン</t>
    </rPh>
    <rPh sb="6" eb="7">
      <t>ゴウ</t>
    </rPh>
    <phoneticPr fontId="20"/>
  </si>
  <si>
    <t>FAX</t>
  </si>
  <si>
    <t>不 活 化 ポ リ オ</t>
    <rPh sb="0" eb="1">
      <t>フ</t>
    </rPh>
    <rPh sb="2" eb="3">
      <t>カツ</t>
    </rPh>
    <rPh sb="4" eb="5">
      <t>カ</t>
    </rPh>
    <phoneticPr fontId="20"/>
  </si>
  <si>
    <t>東成瀬村長　様</t>
  </si>
  <si>
    <t>麻しん風しん混合
（ＭＲ）</t>
    <rPh sb="0" eb="1">
      <t>マ</t>
    </rPh>
    <rPh sb="3" eb="4">
      <t>フウ</t>
    </rPh>
    <rPh sb="6" eb="7">
      <t>コン</t>
    </rPh>
    <rPh sb="7" eb="8">
      <t>ゴウ</t>
    </rPh>
    <phoneticPr fontId="20"/>
  </si>
  <si>
    <t xml:space="preserve">atsuko-i@city.nikaho.lg.jp </t>
  </si>
  <si>
    <t>山本郡八峰町峰浜目名潟字目長田１１８</t>
    <rPh sb="0" eb="3">
      <t>ヤマモトグン</t>
    </rPh>
    <rPh sb="3" eb="6">
      <t>ハッポウチョウ</t>
    </rPh>
    <rPh sb="6" eb="8">
      <t>ミネハマ</t>
    </rPh>
    <rPh sb="8" eb="9">
      <t>メ</t>
    </rPh>
    <rPh sb="9" eb="10">
      <t>ナ</t>
    </rPh>
    <rPh sb="10" eb="11">
      <t>ガタ</t>
    </rPh>
    <rPh sb="11" eb="12">
      <t>アザ</t>
    </rPh>
    <rPh sb="12" eb="13">
      <t>メ</t>
    </rPh>
    <rPh sb="13" eb="14">
      <t>ナガ</t>
    </rPh>
    <rPh sb="14" eb="15">
      <t>タ</t>
    </rPh>
    <phoneticPr fontId="20"/>
  </si>
  <si>
    <t>第1期</t>
    <rPh sb="0" eb="1">
      <t>ダイ</t>
    </rPh>
    <rPh sb="2" eb="3">
      <t>キ</t>
    </rPh>
    <phoneticPr fontId="20" alignment="distributed"/>
  </si>
  <si>
    <t>市町村担当課所：</t>
    <rPh sb="0" eb="3">
      <t>シチョウソン</t>
    </rPh>
    <rPh sb="3" eb="5">
      <t>タントウ</t>
    </rPh>
    <rPh sb="5" eb="6">
      <t>カ</t>
    </rPh>
    <rPh sb="6" eb="7">
      <t>ショ</t>
    </rPh>
    <phoneticPr fontId="20"/>
  </si>
  <si>
    <t>0184-24-0481</t>
  </si>
  <si>
    <t>風　　し　　ん</t>
    <rPh sb="0" eb="1">
      <t>カゼ</t>
    </rPh>
    <phoneticPr fontId="20"/>
  </si>
  <si>
    <t>kenkou@city.nikaho.lg.jp</t>
  </si>
  <si>
    <t>016-8501
016-0157</t>
  </si>
  <si>
    <t>山本郡三種町森岳字上台９３－５</t>
    <rPh sb="0" eb="2">
      <t>ヤマモト</t>
    </rPh>
    <rPh sb="2" eb="3">
      <t>グン</t>
    </rPh>
    <rPh sb="3" eb="6">
      <t>ミタネチョウ</t>
    </rPh>
    <rPh sb="6" eb="8">
      <t>モリタケ</t>
    </rPh>
    <rPh sb="8" eb="9">
      <t>アザ</t>
    </rPh>
    <rPh sb="9" eb="10">
      <t>ウエ</t>
    </rPh>
    <rPh sb="10" eb="11">
      <t>ダイ</t>
    </rPh>
    <phoneticPr fontId="20"/>
  </si>
  <si>
    <t>010-0443</t>
  </si>
  <si>
    <t xml:space="preserve"> フ　リ　ガ　ナ</t>
  </si>
  <si>
    <t>医療法人に属する医療機関は法人の代表者名と法人印により請求
【インフルエンザ（高齢者）・高齢者用肺炎球菌】 生保は各医療機関接種料金全額。料金が委託料に満たない場合その金額。
押印を省略する場合、余白に「発行責任者職名・氏名、担当者職名・氏名、連絡先電話番号」を記載すること。</t>
  </si>
  <si>
    <t>Ｂ　型　肝　炎</t>
    <rPh sb="2" eb="3">
      <t>ガタ</t>
    </rPh>
    <rPh sb="4" eb="5">
      <t>キモ</t>
    </rPh>
    <rPh sb="6" eb="7">
      <t>ホノオ</t>
    </rPh>
    <phoneticPr fontId="20"/>
  </si>
  <si>
    <t>0187-62-9302</t>
  </si>
  <si>
    <t>２価</t>
    <rPh sb="1" eb="2">
      <t>カ</t>
    </rPh>
    <phoneticPr fontId="20"/>
  </si>
  <si>
    <t>合　　　　　　　計</t>
    <rPh sb="0" eb="1">
      <t>ゴウ</t>
    </rPh>
    <rPh sb="8" eb="9">
      <t>ケイ</t>
    </rPh>
    <phoneticPr fontId="20"/>
  </si>
  <si>
    <t>kenkou@city.kazuno.lg.jp</t>
  </si>
  <si>
    <t>仙北市角館町中菅沢８１－８</t>
    <rPh sb="0" eb="2">
      <t>センボク</t>
    </rPh>
    <rPh sb="2" eb="3">
      <t>シ</t>
    </rPh>
    <rPh sb="3" eb="6">
      <t>カクノダテマチ</t>
    </rPh>
    <rPh sb="6" eb="7">
      <t>ナカ</t>
    </rPh>
    <rPh sb="7" eb="8">
      <t>スガ</t>
    </rPh>
    <rPh sb="8" eb="9">
      <t>ザワ</t>
    </rPh>
    <phoneticPr fontId="20"/>
  </si>
  <si>
    <t>健康福祉部　医療健康課</t>
    <rPh sb="0" eb="2">
      <t>ケンコウ</t>
    </rPh>
    <rPh sb="2" eb="5">
      <t>フクシブ</t>
    </rPh>
    <rPh sb="6" eb="8">
      <t>イリョウ</t>
    </rPh>
    <rPh sb="8" eb="10">
      <t>ケンコウ</t>
    </rPh>
    <rPh sb="10" eb="11">
      <t>カ</t>
    </rPh>
    <phoneticPr fontId="20"/>
  </si>
  <si>
    <t>実費徴収免除者</t>
    <rPh sb="0" eb="2">
      <t>ジッピ</t>
    </rPh>
    <rPh sb="2" eb="4">
      <t>チョウシュウ</t>
    </rPh>
    <rPh sb="4" eb="7">
      <t>メンジョシャ</t>
    </rPh>
    <phoneticPr fontId="20"/>
  </si>
  <si>
    <t>三種混合
（DPT）</t>
  </si>
  <si>
    <t>摘　　　　　　要</t>
    <rPh sb="0" eb="1">
      <t>チャク</t>
    </rPh>
    <rPh sb="7" eb="8">
      <t>ヨウ</t>
    </rPh>
    <phoneticPr fontId="20"/>
  </si>
  <si>
    <t>注　意　事　項</t>
    <rPh sb="0" eb="1">
      <t>チュウ</t>
    </rPh>
    <rPh sb="2" eb="3">
      <t>イ</t>
    </rPh>
    <rPh sb="4" eb="5">
      <t>コト</t>
    </rPh>
    <rPh sb="6" eb="7">
      <t>コウ</t>
    </rPh>
    <phoneticPr fontId="20"/>
  </si>
  <si>
    <t>内訳【一般　　人】</t>
    <rPh sb="0" eb="2">
      <t>ウチワケ</t>
    </rPh>
    <phoneticPr fontId="20"/>
  </si>
  <si>
    <t xml:space="preserve"> 口 座 番 号</t>
    <rPh sb="1" eb="2">
      <t>クチ</t>
    </rPh>
    <rPh sb="3" eb="4">
      <t>ザ</t>
    </rPh>
    <rPh sb="5" eb="6">
      <t>バン</t>
    </rPh>
    <rPh sb="7" eb="8">
      <t>ゴウ</t>
    </rPh>
    <phoneticPr fontId="20" alignment="distributed"/>
  </si>
  <si>
    <t>0185-89-2948/
0185-58-2838</t>
  </si>
  <si>
    <t xml:space="preserve"> 口 座 名 義</t>
    <rPh sb="1" eb="2">
      <t>クチ</t>
    </rPh>
    <rPh sb="3" eb="4">
      <t>ザ</t>
    </rPh>
    <rPh sb="5" eb="6">
      <t>ナ</t>
    </rPh>
    <rPh sb="7" eb="8">
      <t>ギ</t>
    </rPh>
    <phoneticPr fontId="20" alignment="distributed"/>
  </si>
  <si>
    <t>◎</t>
  </si>
  <si>
    <t>特記</t>
    <rPh sb="0" eb="2">
      <t>トッキ</t>
    </rPh>
    <phoneticPr fontId="20"/>
  </si>
  <si>
    <t>ho.soumu@city.odate.lg.jp</t>
  </si>
  <si>
    <t>に記載がある場合を除く）。</t>
    <rPh sb="6" eb="8">
      <t>バアイ</t>
    </rPh>
    <rPh sb="9" eb="10">
      <t>ノゾ</t>
    </rPh>
    <phoneticPr fontId="20"/>
  </si>
  <si>
    <t>018-0311</t>
  </si>
  <si>
    <t>４価</t>
    <rPh sb="1" eb="2">
      <t>カ</t>
    </rPh>
    <phoneticPr fontId="20"/>
  </si>
  <si>
    <t>市町村</t>
  </si>
  <si>
    <t>担当課所</t>
    <rPh sb="2" eb="4">
      <t>カショ</t>
    </rPh>
    <phoneticPr fontId="20"/>
  </si>
  <si>
    <t>風しん</t>
  </si>
  <si>
    <t>藤里町長　様</t>
  </si>
  <si>
    <t>八郎潟町長　様</t>
  </si>
  <si>
    <t>018-2502</t>
  </si>
  <si>
    <t>郵便番号</t>
  </si>
  <si>
    <t>所在地</t>
  </si>
  <si>
    <t>018-2303</t>
  </si>
  <si>
    <t>電話番号</t>
  </si>
  <si>
    <t>四種混合
（DPT-IPV）</t>
  </si>
  <si>
    <t>住民福祉課</t>
    <rPh sb="0" eb="2">
      <t>ジュウミン</t>
    </rPh>
    <rPh sb="2" eb="5">
      <t>フクシカ</t>
    </rPh>
    <phoneticPr fontId="20"/>
  </si>
  <si>
    <t>0186-30-1257</t>
  </si>
  <si>
    <t>予診料</t>
    <rPh sb="0" eb="1">
      <t>ヨ</t>
    </rPh>
    <rPh sb="1" eb="2">
      <t>ミ</t>
    </rPh>
    <rPh sb="2" eb="3">
      <t>リョウ</t>
    </rPh>
    <phoneticPr fontId="20"/>
  </si>
  <si>
    <t>ロタウイルス感染症</t>
    <rPh sb="6" eb="8">
      <t>カンセン</t>
    </rPh>
    <rPh sb="8" eb="9">
      <t>ショウ</t>
    </rPh>
    <phoneticPr fontId="20"/>
  </si>
  <si>
    <t>二種混合
（DT）</t>
  </si>
  <si>
    <t>不活化ポリオ</t>
  </si>
  <si>
    <t>0184-38-4200</t>
  </si>
  <si>
    <t>麻しん風しん混合（MR）</t>
    <rPh sb="6" eb="8">
      <t>コンゴウ</t>
    </rPh>
    <phoneticPr fontId="20"/>
  </si>
  <si>
    <t>fukushi@town.happo.lg.jp</t>
  </si>
  <si>
    <t>麻しん</t>
  </si>
  <si>
    <t>担当者氏名</t>
    <rPh sb="0" eb="3">
      <t>タントウシャ</t>
    </rPh>
    <rPh sb="3" eb="5">
      <t>シメイ</t>
    </rPh>
    <phoneticPr fontId="20"/>
  </si>
  <si>
    <t>日本脳炎</t>
  </si>
  <si>
    <t>結核
（BCG）</t>
    <rPh sb="0" eb="2">
      <t>ケッカク</t>
    </rPh>
    <phoneticPr fontId="20"/>
  </si>
  <si>
    <t>北秋田市長　様</t>
  </si>
  <si>
    <t>Hib
感染症</t>
    <rPh sb="4" eb="7">
      <t>カンセンショウ</t>
    </rPh>
    <phoneticPr fontId="20"/>
  </si>
  <si>
    <t>高橋　由成</t>
    <rPh sb="0" eb="2">
      <t>タカハシ</t>
    </rPh>
    <rPh sb="3" eb="4">
      <t>ヨシ</t>
    </rPh>
    <rPh sb="4" eb="5">
      <t>シゲル</t>
    </rPh>
    <phoneticPr fontId="20"/>
  </si>
  <si>
    <t>健康長寿課</t>
    <rPh sb="0" eb="2">
      <t>ケンコウ</t>
    </rPh>
    <rPh sb="2" eb="4">
      <t>チョウジュ</t>
    </rPh>
    <rPh sb="4" eb="5">
      <t>カ</t>
    </rPh>
    <phoneticPr fontId="20"/>
  </si>
  <si>
    <t>ヒトパピローマ
ウイルス感染症</t>
    <rPh sb="12" eb="15">
      <t>カンセンショウ</t>
    </rPh>
    <phoneticPr fontId="20"/>
  </si>
  <si>
    <t>水痘</t>
    <rPh sb="0" eb="2">
      <t>スイトウ</t>
    </rPh>
    <phoneticPr fontId="20"/>
  </si>
  <si>
    <t>齋藤真由美</t>
    <rPh sb="0" eb="2">
      <t>サイトウ</t>
    </rPh>
    <rPh sb="2" eb="5">
      <t>マユミ</t>
    </rPh>
    <phoneticPr fontId="20"/>
  </si>
  <si>
    <t>B型肝炎</t>
    <rPh sb="1" eb="2">
      <t>ガタ</t>
    </rPh>
    <rPh sb="2" eb="4">
      <t>カンエン</t>
    </rPh>
    <phoneticPr fontId="20"/>
  </si>
  <si>
    <t>能代市長　様</t>
  </si>
  <si>
    <t>インフルエンザ
（高齢者）</t>
    <rPh sb="9" eb="12">
      <t>コウレイシャ</t>
    </rPh>
    <phoneticPr fontId="20"/>
  </si>
  <si>
    <t>高齢者用肺炎球菌</t>
    <rPh sb="4" eb="6">
      <t>ハイエン</t>
    </rPh>
    <rPh sb="6" eb="8">
      <t>キュウキン</t>
    </rPh>
    <phoneticPr fontId="20"/>
  </si>
  <si>
    <t>摘要</t>
    <rPh sb="0" eb="2">
      <t>テキヨウ</t>
    </rPh>
    <phoneticPr fontId="20"/>
  </si>
  <si>
    <t>請求書は小児用と成人用（インフルエンザ･肺炎球菌）で分ける。生保は全額負担。</t>
    <rPh sb="4" eb="7">
      <t>ショウニヨウ</t>
    </rPh>
    <rPh sb="8" eb="11">
      <t>セイジンヨウ</t>
    </rPh>
    <rPh sb="20" eb="22">
      <t>ハイエン</t>
    </rPh>
    <rPh sb="22" eb="24">
      <t>キュウキン</t>
    </rPh>
    <phoneticPr fontId="20"/>
  </si>
  <si>
    <t>注意事項</t>
    <rPh sb="0" eb="2">
      <t>チュウイ</t>
    </rPh>
    <rPh sb="2" eb="4">
      <t>ジコウ</t>
    </rPh>
    <phoneticPr fontId="20"/>
  </si>
  <si>
    <t>押印欄</t>
    <rPh sb="0" eb="2">
      <t>オウイン</t>
    </rPh>
    <rPh sb="2" eb="3">
      <t>ラン</t>
    </rPh>
    <phoneticPr fontId="20"/>
  </si>
  <si>
    <t>メール</t>
  </si>
  <si>
    <t>上小阿仁村長　様</t>
  </si>
  <si>
    <t>第1期</t>
  </si>
  <si>
    <t>第2期</t>
  </si>
  <si>
    <t>1価</t>
    <rPh sb="1" eb="2">
      <t>カ</t>
    </rPh>
    <phoneticPr fontId="20"/>
  </si>
  <si>
    <t>5価</t>
    <rPh sb="1" eb="2">
      <t>カ</t>
    </rPh>
    <phoneticPr fontId="20"/>
  </si>
  <si>
    <t>秋田市長　様　
【市内】</t>
    <rPh sb="0" eb="3">
      <t>アキタシ</t>
    </rPh>
    <rPh sb="3" eb="4">
      <t>チョウ</t>
    </rPh>
    <rPh sb="5" eb="6">
      <t>サマ</t>
    </rPh>
    <phoneticPr fontId="20"/>
  </si>
  <si>
    <t>仙北郡美郷町土崎字上野乙１７０－１０</t>
    <rPh sb="0" eb="3">
      <t>センボクグン</t>
    </rPh>
    <rPh sb="3" eb="6">
      <t>ミサトチョウ</t>
    </rPh>
    <rPh sb="6" eb="8">
      <t>ツチザキ</t>
    </rPh>
    <rPh sb="8" eb="9">
      <t>アザ</t>
    </rPh>
    <rPh sb="9" eb="12">
      <t>ウエノオツ</t>
    </rPh>
    <phoneticPr fontId="20"/>
  </si>
  <si>
    <t>秋田市保健所　健康管理課</t>
    <rPh sb="0" eb="3">
      <t>アキタシ</t>
    </rPh>
    <rPh sb="3" eb="6">
      <t>ホケンショ</t>
    </rPh>
    <rPh sb="7" eb="9">
      <t>ケンコウ</t>
    </rPh>
    <rPh sb="9" eb="12">
      <t>カンリカ</t>
    </rPh>
    <phoneticPr fontId="20"/>
  </si>
  <si>
    <t>福祉部　健康課　健康企画係</t>
    <rPh sb="0" eb="3">
      <t>フクシブ</t>
    </rPh>
    <rPh sb="4" eb="6">
      <t>ケンコウ</t>
    </rPh>
    <rPh sb="6" eb="7">
      <t>カ</t>
    </rPh>
    <rPh sb="8" eb="10">
      <t>ケンコウ</t>
    </rPh>
    <rPh sb="10" eb="12">
      <t>キカク</t>
    </rPh>
    <rPh sb="12" eb="13">
      <t>ガカリ</t>
    </rPh>
    <phoneticPr fontId="20"/>
  </si>
  <si>
    <t>八峰町長　様</t>
  </si>
  <si>
    <t>010-0976</t>
  </si>
  <si>
    <t>齊藤　一樹</t>
    <rPh sb="0" eb="2">
      <t>サイトウ</t>
    </rPh>
    <rPh sb="3" eb="5">
      <t>カズキ</t>
    </rPh>
    <phoneticPr fontId="20"/>
  </si>
  <si>
    <t>［母子］子ども未来課/
［成人］健康対策課</t>
    <rPh sb="4" eb="5">
      <t>コ</t>
    </rPh>
    <rPh sb="7" eb="9">
      <t>ミライ</t>
    </rPh>
    <rPh sb="9" eb="10">
      <t>カ</t>
    </rPh>
    <rPh sb="16" eb="18">
      <t>ケンコウ</t>
    </rPh>
    <rPh sb="18" eb="20">
      <t>タイサク</t>
    </rPh>
    <rPh sb="20" eb="21">
      <t>カ</t>
    </rPh>
    <phoneticPr fontId="20"/>
  </si>
  <si>
    <t>秋田市八橋南一丁目８－３</t>
    <rPh sb="0" eb="3">
      <t>アキタシ</t>
    </rPh>
    <rPh sb="3" eb="5">
      <t>ヤバセ</t>
    </rPh>
    <rPh sb="5" eb="6">
      <t>ミナミ</t>
    </rPh>
    <rPh sb="6" eb="9">
      <t>イッチョウメ</t>
    </rPh>
    <phoneticPr fontId="20"/>
  </si>
  <si>
    <t>男鹿市船川港船川字泉台６６番地１</t>
    <rPh sb="0" eb="3">
      <t>オガシ</t>
    </rPh>
    <rPh sb="3" eb="5">
      <t>フナカワ</t>
    </rPh>
    <rPh sb="5" eb="6">
      <t>ミナト</t>
    </rPh>
    <rPh sb="6" eb="8">
      <t>フナカワ</t>
    </rPh>
    <rPh sb="8" eb="9">
      <t>アザ</t>
    </rPh>
    <rPh sb="9" eb="11">
      <t>イズミダイ</t>
    </rPh>
    <rPh sb="13" eb="15">
      <t>バンチ</t>
    </rPh>
    <phoneticPr fontId="20"/>
  </si>
  <si>
    <t>018-883-1179</t>
  </si>
  <si>
    <t>***</t>
  </si>
  <si>
    <t>大館市長　様</t>
  </si>
  <si>
    <t>第2期 5歳児</t>
    <rPh sb="0" eb="2">
      <t>ダイニ</t>
    </rPh>
    <rPh sb="2" eb="3">
      <t>キ</t>
    </rPh>
    <phoneticPr fontId="20"/>
  </si>
  <si>
    <t>南秋田郡八郎潟町字大道８０</t>
    <rPh sb="0" eb="4">
      <t>ミナミアキタグン</t>
    </rPh>
    <rPh sb="4" eb="8">
      <t>ハチロウガタマチ</t>
    </rPh>
    <rPh sb="8" eb="9">
      <t>アザ</t>
    </rPh>
    <rPh sb="9" eb="11">
      <t>オオミチ</t>
    </rPh>
    <phoneticPr fontId="20"/>
  </si>
  <si>
    <t>非課税世帯</t>
    <rPh sb="0" eb="3">
      <t>ヒカゼイ</t>
    </rPh>
    <rPh sb="3" eb="5">
      <t>セタイ</t>
    </rPh>
    <phoneticPr fontId="20"/>
  </si>
  <si>
    <t>課税世帯</t>
    <rPh sb="0" eb="2">
      <t>カゼイ</t>
    </rPh>
    <rPh sb="2" eb="4">
      <t>セタイ</t>
    </rPh>
    <phoneticPr fontId="20"/>
  </si>
  <si>
    <t>・接種料金は、医療機関が設定する接種料金（ただし、生活保護受給者の料金は、インフルエンザ（高齢者）は5,225円が上限、高齢者用肺炎球菌は8,751円が上限）
・請求書の日付けは空欄で２枚提出(押印は不要。ただし、欄外に発行責任者（理事長や院長等の医療機関内において権限の委任を受けた役職員）の職名・氏名、、担当者（請求に関する事務を担当する者）の職名・氏名および連絡先（医療機関の代表番号や直通番号等）を記載すること。）
※ｲﾝﾌﾙｴﾝｻﾞ・肺炎球菌ともに、接種料金が委託料に満たない場合はその金額を委託料として請求してください。</t>
    <rPh sb="97" eb="99">
      <t>オウイン</t>
    </rPh>
    <rPh sb="100" eb="102">
      <t>フヨウ</t>
    </rPh>
    <rPh sb="107" eb="109">
      <t>ランガイ</t>
    </rPh>
    <phoneticPr fontId="20"/>
  </si>
  <si>
    <t>古木　望実</t>
    <rPh sb="0" eb="2">
      <t>フルキ</t>
    </rPh>
    <rPh sb="3" eb="5">
      <t>ノゾミ</t>
    </rPh>
    <phoneticPr fontId="20"/>
  </si>
  <si>
    <t>藤田　由美</t>
    <rPh sb="0" eb="2">
      <t>フジタ</t>
    </rPh>
    <rPh sb="3" eb="5">
      <t>ユミ</t>
    </rPh>
    <phoneticPr fontId="20"/>
  </si>
  <si>
    <t>018-883-1158</t>
  </si>
  <si>
    <t>kenkou-center@town.akita-ikawa.lg.jp</t>
  </si>
  <si>
    <t>秋田市長　様　
【市外（県内に限る）】</t>
    <rPh sb="0" eb="3">
      <t>アキタシ</t>
    </rPh>
    <rPh sb="3" eb="4">
      <t>チョウ</t>
    </rPh>
    <rPh sb="5" eb="6">
      <t>サマ</t>
    </rPh>
    <rPh sb="12" eb="14">
      <t>ケンナイ</t>
    </rPh>
    <rPh sb="15" eb="16">
      <t>カギ</t>
    </rPh>
    <phoneticPr fontId="20"/>
  </si>
  <si>
    <t>0184-32-3000</t>
  </si>
  <si>
    <t>秋田市以外の医療機関　インフルエンザの実施期間は10月～2月</t>
    <rPh sb="0" eb="3">
      <t>アキタシ</t>
    </rPh>
    <rPh sb="3" eb="5">
      <t>イガイ</t>
    </rPh>
    <rPh sb="6" eb="8">
      <t>イリョウ</t>
    </rPh>
    <rPh sb="8" eb="10">
      <t>キカン</t>
    </rPh>
    <rPh sb="19" eb="21">
      <t>ジッシ</t>
    </rPh>
    <rPh sb="21" eb="23">
      <t>キカン</t>
    </rPh>
    <rPh sb="26" eb="27">
      <t>ガツ</t>
    </rPh>
    <rPh sb="29" eb="30">
      <t>ガツ</t>
    </rPh>
    <phoneticPr fontId="20"/>
  </si>
  <si>
    <t>（子ども）子育て支援課/
（成　人）健康づくり課</t>
    <rPh sb="1" eb="2">
      <t>コ</t>
    </rPh>
    <rPh sb="5" eb="11">
      <t>コソ</t>
    </rPh>
    <rPh sb="14" eb="15">
      <t>シゲル</t>
    </rPh>
    <rPh sb="16" eb="17">
      <t>ニン</t>
    </rPh>
    <rPh sb="18" eb="20">
      <t>ケンコウ</t>
    </rPh>
    <rPh sb="23" eb="24">
      <t>カ</t>
    </rPh>
    <phoneticPr fontId="20"/>
  </si>
  <si>
    <t>能代市上町１－３
能代市字腹鞁ノ沢１９－３</t>
    <rPh sb="0" eb="3">
      <t>ノ</t>
    </rPh>
    <rPh sb="3" eb="4">
      <t>ウエ</t>
    </rPh>
    <rPh sb="4" eb="5">
      <t>マチ</t>
    </rPh>
    <rPh sb="9" eb="12">
      <t>ノシロシ</t>
    </rPh>
    <rPh sb="12" eb="13">
      <t>ジ</t>
    </rPh>
    <rPh sb="13" eb="14">
      <t>ハラ</t>
    </rPh>
    <rPh sb="14" eb="15">
      <t>ビ</t>
    </rPh>
    <rPh sb="16" eb="17">
      <t>サワ</t>
    </rPh>
    <phoneticPr fontId="20"/>
  </si>
  <si>
    <t>井川町長　様</t>
  </si>
  <si>
    <t>第2期</t>
    <rPh sb="0" eb="2">
      <t>ダイニ</t>
    </rPh>
    <rPh sb="2" eb="3">
      <t>キ</t>
    </rPh>
    <phoneticPr fontId="20"/>
  </si>
  <si>
    <t>0186-42-9054</t>
  </si>
  <si>
    <t>一般</t>
    <rPh sb="0" eb="2">
      <t>イッパン</t>
    </rPh>
    <phoneticPr fontId="20"/>
  </si>
  <si>
    <t>012-8501</t>
  </si>
  <si>
    <t>【インフルエンザ（高齢者）・高齢者用肺炎球菌】生保受給者は全額助成。接種料金が委託料に満たない場合はその金額</t>
    <rPh sb="9" eb="12">
      <t>コウレイシャ</t>
    </rPh>
    <phoneticPr fontId="20"/>
  </si>
  <si>
    <t>印</t>
    <rPh sb="0" eb="1">
      <t>イン</t>
    </rPh>
    <phoneticPr fontId="20"/>
  </si>
  <si>
    <t>0187-54-1117(代表)</t>
    <rPh sb="13" eb="15">
      <t>ダイヒョウ</t>
    </rPh>
    <phoneticPr fontId="20"/>
  </si>
  <si>
    <t>杉渕　政子　</t>
    <rPh sb="0" eb="2">
      <t>スギブチ</t>
    </rPh>
    <rPh sb="3" eb="5">
      <t>マサコ</t>
    </rPh>
    <phoneticPr fontId="20"/>
  </si>
  <si>
    <t>k-houkatsu@city.noshiro.lg.jp</t>
  </si>
  <si>
    <t>013-0044</t>
  </si>
  <si>
    <t>横手市横山町１－１</t>
    <rPh sb="0" eb="2">
      <t>ヨコテ</t>
    </rPh>
    <rPh sb="2" eb="3">
      <t>シ</t>
    </rPh>
    <rPh sb="3" eb="6">
      <t>ヨコヤマチョウ</t>
    </rPh>
    <phoneticPr fontId="20"/>
  </si>
  <si>
    <t>0182-33-9600</t>
  </si>
  <si>
    <t>6歳未満</t>
  </si>
  <si>
    <t>令和５年４月１日現在</t>
    <rPh sb="0" eb="2">
      <t>レイワ</t>
    </rPh>
    <rPh sb="3" eb="4">
      <t>ネン</t>
    </rPh>
    <rPh sb="5" eb="6">
      <t>ガツ</t>
    </rPh>
    <rPh sb="7" eb="8">
      <t>ニチ</t>
    </rPh>
    <rPh sb="8" eb="10">
      <t>ゲンザイ</t>
    </rPh>
    <phoneticPr fontId="20"/>
  </si>
  <si>
    <t>6歳以上</t>
    <rPh sb="2" eb="4">
      <t>イジョウ</t>
    </rPh>
    <phoneticPr fontId="20"/>
  </si>
  <si>
    <t>0185-76-2113</t>
  </si>
  <si>
    <t>【インフルエンザ（高齢者）・高齢者用肺炎球菌】 実費徴収免除者（生保）は各医療機関接種料金による
押印を省略する場合、余白に「発行責任者職名・氏名、発行担当者職名・氏名、連絡先電話番号」を記載すること。</t>
  </si>
  <si>
    <t>018-3315</t>
  </si>
  <si>
    <t>kenkou@city.yokote.lg.jp</t>
  </si>
  <si>
    <t>0182-33-9601</t>
  </si>
  <si>
    <t>017-0897</t>
  </si>
  <si>
    <t>0186-30-0119</t>
  </si>
  <si>
    <t>0186-29-3926</t>
  </si>
  <si>
    <t>南秋田郡五城目町西磯ノ目一丁目１－１</t>
    <rPh sb="0" eb="4">
      <t>ミナミアキタグン</t>
    </rPh>
    <rPh sb="4" eb="8">
      <t>ゴジョウメマチ</t>
    </rPh>
    <rPh sb="8" eb="9">
      <t>ニシ</t>
    </rPh>
    <rPh sb="9" eb="10">
      <t>イソ</t>
    </rPh>
    <rPh sb="11" eb="12">
      <t>メ</t>
    </rPh>
    <rPh sb="12" eb="13">
      <t>１</t>
    </rPh>
    <rPh sb="13" eb="14">
      <t>チョウ</t>
    </rPh>
    <rPh sb="14" eb="15">
      <t>メ</t>
    </rPh>
    <phoneticPr fontId="20"/>
  </si>
  <si>
    <t>にかほ市金浦字花潟８３－１</t>
  </si>
  <si>
    <t>健康長寿課感染症予防班　鷹島綾子</t>
    <rPh sb="0" eb="2">
      <t>ケンコウ</t>
    </rPh>
    <rPh sb="2" eb="4">
      <t>チョウジュ</t>
    </rPh>
    <rPh sb="4" eb="5">
      <t>カ</t>
    </rPh>
    <rPh sb="5" eb="8">
      <t>カンセンショウ</t>
    </rPh>
    <rPh sb="8" eb="10">
      <t>ヨボウ</t>
    </rPh>
    <rPh sb="10" eb="11">
      <t>ハン</t>
    </rPh>
    <rPh sb="12" eb="14">
      <t>タカシマ</t>
    </rPh>
    <rPh sb="14" eb="16">
      <t>アヤコ</t>
    </rPh>
    <phoneticPr fontId="20"/>
  </si>
  <si>
    <t>生後90月未満</t>
    <rPh sb="5" eb="7">
      <t>ミマン</t>
    </rPh>
    <phoneticPr fontId="20"/>
  </si>
  <si>
    <t>生後90月以上</t>
  </si>
  <si>
    <t>【インフルエンザ（高齢者）・高齢者用肺炎球菌】  生活保護受給世帯は全額助成。接種料が委託料に満たない場合はその金額。予診料の設定はなし。請求書は、Ａ類疾病と分けて種類ごとの提出とする。実施報告書兼請求書は押印必要なし。</t>
    <rPh sb="93" eb="95">
      <t>ジッシ</t>
    </rPh>
    <rPh sb="95" eb="98">
      <t>ホウコクショ</t>
    </rPh>
    <rPh sb="98" eb="99">
      <t>ケン</t>
    </rPh>
    <rPh sb="99" eb="102">
      <t>セイキュウショ</t>
    </rPh>
    <rPh sb="103" eb="105">
      <t>オウイン</t>
    </rPh>
    <rPh sb="105" eb="107">
      <t>ヒツヨウ</t>
    </rPh>
    <phoneticPr fontId="20"/>
  </si>
  <si>
    <t>男鹿市長　様</t>
  </si>
  <si>
    <t>hoken@city.semboku.lg.jp</t>
  </si>
  <si>
    <t>南秋田郡井川町北川尻字海老沢樋ノ口７８－１</t>
    <rPh sb="0" eb="1">
      <t>ミナミ</t>
    </rPh>
    <rPh sb="1" eb="3">
      <t>アキタ</t>
    </rPh>
    <rPh sb="3" eb="4">
      <t>グン</t>
    </rPh>
    <rPh sb="4" eb="7">
      <t>イカワマチ</t>
    </rPh>
    <rPh sb="7" eb="8">
      <t>キタ</t>
    </rPh>
    <rPh sb="8" eb="10">
      <t>カワシリ</t>
    </rPh>
    <rPh sb="10" eb="11">
      <t>アザ</t>
    </rPh>
    <rPh sb="11" eb="14">
      <t>エビサワ</t>
    </rPh>
    <rPh sb="14" eb="15">
      <t>ヒ</t>
    </rPh>
    <rPh sb="16" eb="17">
      <t>グチ</t>
    </rPh>
    <phoneticPr fontId="20"/>
  </si>
  <si>
    <t>金浦保健センター</t>
  </si>
  <si>
    <t>健康推進課</t>
    <rPh sb="0" eb="2">
      <t>ケンコウ</t>
    </rPh>
    <rPh sb="2" eb="4">
      <t>スイシン</t>
    </rPh>
    <rPh sb="4" eb="5">
      <t>カ</t>
    </rPh>
    <phoneticPr fontId="20"/>
  </si>
  <si>
    <t>010-0595</t>
  </si>
  <si>
    <t>インフルエンザの実施期間は10月～3月</t>
    <rPh sb="18" eb="19">
      <t>ガツ</t>
    </rPh>
    <phoneticPr fontId="20"/>
  </si>
  <si>
    <t>0185-24-3400</t>
  </si>
  <si>
    <t>0187-85-2107</t>
  </si>
  <si>
    <t>012-1131</t>
  </si>
  <si>
    <t>【インフルエンザ（高齢者）・高齢者用肺炎球菌】生活保護市全額補助
押印を省略する場合、余白に「発行責任者職名・氏名、担当者職名・氏名及び連絡先電話番号」を記載すること。</t>
    <rPh sb="23" eb="25">
      <t>セイカツ</t>
    </rPh>
    <rPh sb="25" eb="27">
      <t>ホゴ</t>
    </rPh>
    <rPh sb="27" eb="28">
      <t>シ</t>
    </rPh>
    <phoneticPr fontId="20"/>
  </si>
  <si>
    <t>湯沢市長　様</t>
  </si>
  <si>
    <t>三種町保健ｾﾝﾀｰ　主任　佐々木　隆光</t>
    <rPh sb="0" eb="3">
      <t>ミタネチョウ</t>
    </rPh>
    <rPh sb="3" eb="5">
      <t>ホケン</t>
    </rPh>
    <rPh sb="10" eb="12">
      <t>シュニン</t>
    </rPh>
    <rPh sb="13" eb="16">
      <t>ササキ</t>
    </rPh>
    <rPh sb="17" eb="19">
      <t>タカミツ</t>
    </rPh>
    <phoneticPr fontId="20"/>
  </si>
  <si>
    <t>湯沢市佐竹町１－１</t>
    <rPh sb="0" eb="3">
      <t>ユザワシ</t>
    </rPh>
    <rPh sb="3" eb="6">
      <t>サタケチョウ</t>
    </rPh>
    <phoneticPr fontId="20"/>
  </si>
  <si>
    <t>福祉課まるごと支援班（保健センター）</t>
    <rPh sb="0" eb="3">
      <t>フクシカ</t>
    </rPh>
    <rPh sb="7" eb="10">
      <t>シエンハン</t>
    </rPh>
    <rPh sb="11" eb="13">
      <t>ホケン</t>
    </rPh>
    <phoneticPr fontId="20"/>
  </si>
  <si>
    <t>kenko-gr@city.yuzawa.lg.jp</t>
  </si>
  <si>
    <t>【インフルエンザ（高齢者）】 生保世帯全額助成
【高齢者用肺炎球菌】 生保世帯全額助成
押印不要。ただし、余白に「発行責任者職名・氏名、担当者職名・氏名及び連絡先電話番号」を記載すること。発行責任者等記載しない場合は要押印。</t>
    <rPh sb="15" eb="17">
      <t>セイホ</t>
    </rPh>
    <rPh sb="21" eb="23">
      <t>ジョセイ</t>
    </rPh>
    <rPh sb="41" eb="43">
      <t>ジョセイ</t>
    </rPh>
    <rPh sb="46" eb="48">
      <t>フヨウ</t>
    </rPh>
    <rPh sb="94" eb="96">
      <t>ハッコウ</t>
    </rPh>
    <rPh sb="96" eb="99">
      <t>セキニンシャ</t>
    </rPh>
    <rPh sb="99" eb="100">
      <t>トウ</t>
    </rPh>
    <rPh sb="100" eb="102">
      <t>キサイ</t>
    </rPh>
    <rPh sb="105" eb="107">
      <t>バアイ</t>
    </rPh>
    <rPh sb="108" eb="109">
      <t>ヨウ</t>
    </rPh>
    <rPh sb="109" eb="111">
      <t>オウイン</t>
    </rPh>
    <phoneticPr fontId="20"/>
  </si>
  <si>
    <t>018-1792</t>
  </si>
  <si>
    <t>黒沢　紗恵子</t>
    <rPh sb="0" eb="2">
      <t>クロサワ</t>
    </rPh>
    <rPh sb="3" eb="4">
      <t>サ</t>
    </rPh>
    <rPh sb="4" eb="6">
      <t>エコ</t>
    </rPh>
    <phoneticPr fontId="20"/>
  </si>
  <si>
    <t>0183-72-8301</t>
  </si>
  <si>
    <t>【インフルエンザ（高齢者）・高齢者用肺炎球菌】 生活保護受給世帯は全額助成</t>
  </si>
  <si>
    <t>鹿角市長　様</t>
    <rPh sb="3" eb="4">
      <t>チョウ</t>
    </rPh>
    <rPh sb="5" eb="6">
      <t>サマ</t>
    </rPh>
    <phoneticPr fontId="20"/>
  </si>
  <si>
    <t>すこやか子育て課</t>
    <rPh sb="4" eb="6">
      <t>コソダ</t>
    </rPh>
    <phoneticPr fontId="20"/>
  </si>
  <si>
    <t>018-5201</t>
  </si>
  <si>
    <t>鹿角市花輪字下花輪５０</t>
  </si>
  <si>
    <t>【インフルエンザ（高齢者）・高齢者用肺炎球菌】 生活保護受給世帯は全額助成</t>
    <rPh sb="24" eb="26">
      <t>セイカツ</t>
    </rPh>
    <rPh sb="26" eb="28">
      <t>ホゴ</t>
    </rPh>
    <rPh sb="28" eb="30">
      <t>ジュキュウ</t>
    </rPh>
    <rPh sb="30" eb="32">
      <t>セタイ</t>
    </rPh>
    <rPh sb="33" eb="35">
      <t>ゼンガク</t>
    </rPh>
    <rPh sb="35" eb="37">
      <t>ジョセイ</t>
    </rPh>
    <phoneticPr fontId="20"/>
  </si>
  <si>
    <t>米沢　紗也加</t>
    <rPh sb="0" eb="2">
      <t>ヨネザワ</t>
    </rPh>
    <rPh sb="3" eb="6">
      <t>サヤカ</t>
    </rPh>
    <phoneticPr fontId="20"/>
  </si>
  <si>
    <t>0183-62-2111</t>
  </si>
  <si>
    <t>由利本荘市長　様</t>
  </si>
  <si>
    <t>内訳【生保　　人】</t>
    <rPh sb="0" eb="2">
      <t>ウチワケ</t>
    </rPh>
    <phoneticPr fontId="20"/>
  </si>
  <si>
    <t>健康福祉部健康づくり課</t>
    <rPh sb="0" eb="2">
      <t>ケンコウ</t>
    </rPh>
    <rPh sb="2" eb="5">
      <t>フクシブ</t>
    </rPh>
    <rPh sb="5" eb="7">
      <t>ケンコウ</t>
    </rPh>
    <rPh sb="10" eb="11">
      <t>カ</t>
    </rPh>
    <phoneticPr fontId="20"/>
  </si>
  <si>
    <t>015-0872</t>
  </si>
  <si>
    <t>由利本荘市瓦谷地１</t>
    <rPh sb="0" eb="4">
      <t>ユリホンジョウ</t>
    </rPh>
    <rPh sb="4" eb="5">
      <t>シ</t>
    </rPh>
    <rPh sb="5" eb="6">
      <t>カワラ</t>
    </rPh>
    <rPh sb="6" eb="7">
      <t>タニ</t>
    </rPh>
    <rPh sb="7" eb="8">
      <t>チ</t>
    </rPh>
    <phoneticPr fontId="20"/>
  </si>
  <si>
    <t>hoken@vill.kamikoani.lg.jp</t>
  </si>
  <si>
    <t>018-1692</t>
  </si>
  <si>
    <t>018-4421</t>
  </si>
  <si>
    <t>0184-22-1834</t>
  </si>
  <si>
    <t xml:space="preserve">【インフルエンザ（高齢者）・高齢者用肺炎球菌】 生保は全額負担
債権者が法人の場合、押印省略可。その場合、「医療機関名、所在地、氏名、請求書の発行責任者、担当者氏名、連絡先電話番号」を記載すること。  </t>
  </si>
  <si>
    <t>0185-79-3002</t>
  </si>
  <si>
    <t>kenko@city.yurihonjo.lg.jp</t>
  </si>
  <si>
    <t>潟上市長　様</t>
  </si>
  <si>
    <t>017-0292</t>
  </si>
  <si>
    <t>010-0201</t>
  </si>
  <si>
    <t>【インフルエンザ（高齢者）・高齢者用肺炎球菌】 生保は全額補助。他の予防接種と請求書を分ける。</t>
  </si>
  <si>
    <t>大仙市長　様</t>
  </si>
  <si>
    <t>健康福祉部健康増進センター</t>
    <rPh sb="0" eb="2">
      <t>ケンコウ</t>
    </rPh>
    <rPh sb="2" eb="5">
      <t>フクシブ</t>
    </rPh>
    <rPh sb="5" eb="7">
      <t>ケンコウ</t>
    </rPh>
    <rPh sb="7" eb="9">
      <t>ゾウシン</t>
    </rPh>
    <phoneticPr fontId="20"/>
  </si>
  <si>
    <t>0184-38-9190</t>
  </si>
  <si>
    <t>014-0027</t>
  </si>
  <si>
    <t>大仙市大曲通町１－１４</t>
  </si>
  <si>
    <t>【インフルエンザ（高齢者）】生保受給者・中国残留邦人の方は無料。
【高齢者用肺炎球菌】生保受給者・中国残留邦人の方は無料
押印なしの場合は「発行責任者及び担当者」の氏名及び連絡先を明記する。事務担当者から在籍確認の電話をする場合があります。</t>
  </si>
  <si>
    <t>羽後町長　様</t>
  </si>
  <si>
    <t>kenkou@city.daisen.lg.jp</t>
  </si>
  <si>
    <t>北秋田市宮前町９－６９</t>
    <rPh sb="0" eb="4">
      <t>キタアキタシ</t>
    </rPh>
    <rPh sb="4" eb="7">
      <t>ミヤマエチョウ</t>
    </rPh>
    <phoneticPr fontId="20"/>
  </si>
  <si>
    <t>6歳以上</t>
  </si>
  <si>
    <t>町民課</t>
    <rPh sb="0" eb="3">
      <t>チョウミンカ</t>
    </rPh>
    <phoneticPr fontId="20"/>
  </si>
  <si>
    <t>kenkou@city.kitaakita.akita.lg.jp</t>
  </si>
  <si>
    <t>消費税額等</t>
    <rPh sb="0" eb="3">
      <t>ショウヒゼイ</t>
    </rPh>
    <rPh sb="3" eb="4">
      <t>ガク</t>
    </rPh>
    <rPh sb="4" eb="5">
      <t>トウ</t>
    </rPh>
    <phoneticPr fontId="20"/>
  </si>
  <si>
    <t>小坂町長　様</t>
  </si>
  <si>
    <t>0186-62-6667</t>
  </si>
  <si>
    <t>にかほ市長　様　
【母子】</t>
    <rPh sb="10" eb="12">
      <t>ボシ</t>
    </rPh>
    <phoneticPr fontId="20"/>
  </si>
  <si>
    <t>９価</t>
    <rPh sb="1" eb="2">
      <t>カ</t>
    </rPh>
    <phoneticPr fontId="20"/>
  </si>
  <si>
    <t>にかほ市長　様　
【成人】</t>
    <rPh sb="10" eb="12">
      <t>セイジン</t>
    </rPh>
    <phoneticPr fontId="20"/>
  </si>
  <si>
    <t>jyumin@vill.ogata.lg.jp</t>
  </si>
  <si>
    <t>0185-83-3857</t>
  </si>
  <si>
    <t>津川　亙</t>
  </si>
  <si>
    <t>仁賀保保健センター</t>
    <rPh sb="0" eb="3">
      <t>ニカホ</t>
    </rPh>
    <phoneticPr fontId="20"/>
  </si>
  <si>
    <t>←小数点以下の対応については、請求先の市町村に確認の上、御対応ください。</t>
  </si>
  <si>
    <t>018-0402</t>
  </si>
  <si>
    <t>にかほ市平沢八森３１−１</t>
  </si>
  <si>
    <t>【インフルエンザ（高齢者）・高齢者用肺炎球菌】 生活保護世帯は接種料金全額負担</t>
    <rPh sb="37" eb="39">
      <t>フタン</t>
    </rPh>
    <phoneticPr fontId="20"/>
  </si>
  <si>
    <t>仙北市長　様</t>
  </si>
  <si>
    <t>保健課</t>
    <rPh sb="0" eb="2">
      <t>ホケン</t>
    </rPh>
    <rPh sb="2" eb="3">
      <t>カ</t>
    </rPh>
    <phoneticPr fontId="20"/>
  </si>
  <si>
    <t>018-1596</t>
  </si>
  <si>
    <t>0187-43-2252</t>
  </si>
  <si>
    <t>鹿角郡小坂町小坂字上谷地４１－１</t>
    <rPh sb="0" eb="2">
      <t>シカツノ</t>
    </rPh>
    <rPh sb="2" eb="3">
      <t>グン</t>
    </rPh>
    <rPh sb="3" eb="6">
      <t>コサカマチ</t>
    </rPh>
    <rPh sb="6" eb="8">
      <t>コサカ</t>
    </rPh>
    <rPh sb="8" eb="9">
      <t>アザ</t>
    </rPh>
    <rPh sb="9" eb="10">
      <t>カミ</t>
    </rPh>
    <rPh sb="10" eb="12">
      <t>ヤチ</t>
    </rPh>
    <phoneticPr fontId="20"/>
  </si>
  <si>
    <t>0186-29-2411</t>
  </si>
  <si>
    <t>北秋田郡上小阿仁村小沢田字向川原80</t>
    <rPh sb="0" eb="4">
      <t>キタアキタグン</t>
    </rPh>
    <rPh sb="4" eb="9">
      <t>カミコアニムラ</t>
    </rPh>
    <rPh sb="9" eb="10">
      <t>コ</t>
    </rPh>
    <rPh sb="10" eb="12">
      <t>サワダ</t>
    </rPh>
    <rPh sb="12" eb="13">
      <t>アザ</t>
    </rPh>
    <rPh sb="13" eb="16">
      <t>ムカイカワラ</t>
    </rPh>
    <phoneticPr fontId="20"/>
  </si>
  <si>
    <t>0186-77-3008</t>
  </si>
  <si>
    <t>【インフルエンザ（高齢者）・高齢者用肺炎球菌】 全額助成：生活保護以外の一般の方も全額助成となります。 ［実費徴収免除者］欄に各医療機関の接種料金を入力してください。請求書を印刷後、接種件数の内訳を手書きにて再掲願います→例【一般○○人】【生保○人】</t>
    <rPh sb="24" eb="26">
      <t>ゼンガク</t>
    </rPh>
    <rPh sb="26" eb="28">
      <t>ジョセイ</t>
    </rPh>
    <rPh sb="63" eb="66">
      <t>カクイリョウ</t>
    </rPh>
    <rPh sb="66" eb="68">
      <t>キカン</t>
    </rPh>
    <rPh sb="69" eb="71">
      <t>セッシュ</t>
    </rPh>
    <rPh sb="71" eb="73">
      <t>リョウキン</t>
    </rPh>
    <rPh sb="74" eb="76">
      <t>ニュウリョク</t>
    </rPh>
    <rPh sb="83" eb="86">
      <t>セイキュウショ</t>
    </rPh>
    <rPh sb="87" eb="89">
      <t>インサツ</t>
    </rPh>
    <rPh sb="89" eb="90">
      <t>ゴ</t>
    </rPh>
    <rPh sb="91" eb="93">
      <t>セッシュ</t>
    </rPh>
    <rPh sb="93" eb="95">
      <t>ケンスウ</t>
    </rPh>
    <rPh sb="96" eb="98">
      <t>ウチワケ</t>
    </rPh>
    <rPh sb="99" eb="101">
      <t>テガ</t>
    </rPh>
    <rPh sb="104" eb="106">
      <t>サイケイ</t>
    </rPh>
    <rPh sb="106" eb="107">
      <t>ネガ</t>
    </rPh>
    <rPh sb="111" eb="112">
      <t>レイ</t>
    </rPh>
    <rPh sb="123" eb="124">
      <t>ニン</t>
    </rPh>
    <phoneticPr fontId="20"/>
  </si>
  <si>
    <t>美郷町長　様</t>
  </si>
  <si>
    <t>018-3201</t>
  </si>
  <si>
    <t>三種町長　様</t>
  </si>
  <si>
    <t>健康推進課保健係（保健センター）</t>
    <rPh sb="0" eb="2">
      <t>ケンコウ</t>
    </rPh>
    <rPh sb="2" eb="5">
      <t>スイシンカ</t>
    </rPh>
    <rPh sb="5" eb="7">
      <t>ホケン</t>
    </rPh>
    <rPh sb="7" eb="8">
      <t>カカリ</t>
    </rPh>
    <rPh sb="9" eb="11">
      <t>ホケン</t>
    </rPh>
    <phoneticPr fontId="20"/>
  </si>
  <si>
    <t>0185-83-5555</t>
  </si>
  <si>
    <t>雄勝郡羽後町西馬音内字中野１７７</t>
    <rPh sb="0" eb="3">
      <t>オガチグン</t>
    </rPh>
    <rPh sb="3" eb="6">
      <t>ウゴマチ</t>
    </rPh>
    <rPh sb="6" eb="10">
      <t>ニシモナイ</t>
    </rPh>
    <rPh sb="10" eb="11">
      <t>アザ</t>
    </rPh>
    <rPh sb="11" eb="13">
      <t>ナカノ</t>
    </rPh>
    <phoneticPr fontId="20"/>
  </si>
  <si>
    <t>福祉保健課</t>
    <rPh sb="0" eb="2">
      <t>フクシ</t>
    </rPh>
    <rPh sb="2" eb="5">
      <t>ホケンカ</t>
    </rPh>
    <phoneticPr fontId="20"/>
  </si>
  <si>
    <t>【インフルエンザ（高齢者）・高齢者用肺炎球菌】 生活保護法による被保護世帯に属する者は全額助成</t>
    <rPh sb="14" eb="17">
      <t>コウレイシャ</t>
    </rPh>
    <rPh sb="24" eb="26">
      <t>セイカツ</t>
    </rPh>
    <rPh sb="26" eb="29">
      <t>ホゴホウ</t>
    </rPh>
    <rPh sb="32" eb="33">
      <t>ヒ</t>
    </rPh>
    <rPh sb="33" eb="35">
      <t>ホゴ</t>
    </rPh>
    <rPh sb="35" eb="37">
      <t>セタイ</t>
    </rPh>
    <rPh sb="38" eb="39">
      <t>ゾク</t>
    </rPh>
    <rPh sb="41" eb="42">
      <t>モノ</t>
    </rPh>
    <rPh sb="43" eb="45">
      <t>ゼンガク</t>
    </rPh>
    <rPh sb="45" eb="47">
      <t>ジョセイ</t>
    </rPh>
    <phoneticPr fontId="20"/>
  </si>
  <si>
    <t>民生課</t>
    <rPh sb="0" eb="2">
      <t>ミンセイ</t>
    </rPh>
    <rPh sb="2" eb="3">
      <t>カ</t>
    </rPh>
    <phoneticPr fontId="20"/>
  </si>
  <si>
    <t>健康福祉課</t>
    <rPh sb="0" eb="2">
      <t>ケンコウ</t>
    </rPh>
    <rPh sb="2" eb="5">
      <t>フクシカ</t>
    </rPh>
    <phoneticPr fontId="20"/>
  </si>
  <si>
    <t>018-852-5180</t>
  </si>
  <si>
    <t>【インフルエンザ（高齢者）・高齢者用肺炎球菌】生保全額助成。接種料金が委託料に満たない場合はその金額</t>
  </si>
  <si>
    <t>018-852-5367</t>
  </si>
  <si>
    <t>018-874-3300</t>
  </si>
  <si>
    <t>保健センター</t>
    <rPh sb="0" eb="2">
      <t>ホケン</t>
    </rPh>
    <phoneticPr fontId="20"/>
  </si>
  <si>
    <t>018-875-2800</t>
  </si>
  <si>
    <t>【インフルエンザ（高齢者）】 生保・非課税全額補助
【高齢者用肺炎球菌】 生保全額補助</t>
    <rPh sb="18" eb="21">
      <t>ヒカゼイ</t>
    </rPh>
    <phoneticPr fontId="20"/>
  </si>
  <si>
    <t>村井　洋子</t>
    <rPh sb="0" eb="2">
      <t>ムライ</t>
    </rPh>
    <rPh sb="3" eb="5">
      <t>ヨウコ</t>
    </rPh>
    <phoneticPr fontId="20"/>
  </si>
  <si>
    <t>hokensenta@town.hachirogata.lg.jp</t>
  </si>
  <si>
    <t>健康福祉課</t>
    <rPh sb="0" eb="2">
      <t>ケンコウ</t>
    </rPh>
    <rPh sb="2" eb="4">
      <t>フクシ</t>
    </rPh>
    <rPh sb="4" eb="5">
      <t>カ</t>
    </rPh>
    <phoneticPr fontId="20"/>
  </si>
  <si>
    <t>019-0801</t>
  </si>
  <si>
    <t>0187-84-4900</t>
  </si>
  <si>
    <t>大潟村長　様</t>
  </si>
  <si>
    <t>0185-45-2613</t>
  </si>
  <si>
    <t>【インフルエンザ（高齢者）・高齢者用肺炎球菌】 他のワクチンと請求書を分ける。生保は全額負担。</t>
    <rPh sb="18" eb="20">
      <t>ハイエン</t>
    </rPh>
    <rPh sb="20" eb="22">
      <t>キュウキン</t>
    </rPh>
    <rPh sb="24" eb="25">
      <t>タ</t>
    </rPh>
    <rPh sb="31" eb="34">
      <t>セイキュウショ</t>
    </rPh>
    <rPh sb="35" eb="36">
      <t>ワ</t>
    </rPh>
    <rPh sb="39" eb="41">
      <t>セイホ</t>
    </rPh>
    <rPh sb="42" eb="44">
      <t>ゼンガク</t>
    </rPh>
    <rPh sb="44" eb="46">
      <t>フタン</t>
    </rPh>
    <phoneticPr fontId="43"/>
  </si>
  <si>
    <t>高橋　鈴奈</t>
    <rPh sb="0" eb="2">
      <t>タカハシ</t>
    </rPh>
    <rPh sb="3" eb="4">
      <t>スズ</t>
    </rPh>
    <rPh sb="4" eb="5">
      <t>ナ</t>
    </rPh>
    <phoneticPr fontId="20"/>
  </si>
  <si>
    <t>0182-47-3405</t>
  </si>
  <si>
    <t>【インフルエンザ（高齢者）・高齢者用肺炎球菌】 生活保護世帯は全額助成
押印を省略する場合、余白に「発行責任者職名・氏名、発行担当者職名・氏名、連絡先電話番号」を記載すること。</t>
  </si>
  <si>
    <t>kenko@town.ugo.lg.jp</t>
  </si>
  <si>
    <t>0183-62-2120</t>
  </si>
  <si>
    <t>雄勝郡東成瀬村田子内字仙人下３０－１</t>
    <rPh sb="0" eb="3">
      <t>オガチグン</t>
    </rPh>
    <rPh sb="3" eb="7">
      <t>ヒガシナルセムラ</t>
    </rPh>
    <rPh sb="7" eb="9">
      <t>タゴ</t>
    </rPh>
    <rPh sb="9" eb="10">
      <t>ナイ</t>
    </rPh>
    <rPh sb="10" eb="11">
      <t>アザ</t>
    </rPh>
    <rPh sb="11" eb="14">
      <t>センニンシタ</t>
    </rPh>
    <phoneticPr fontId="20"/>
  </si>
  <si>
    <t>018-853-5250</t>
  </si>
  <si>
    <t>kansenyobo@city.katagami.lg.jp</t>
  </si>
  <si>
    <r>
      <t>018-853-</t>
    </r>
    <r>
      <rPr>
        <sz val="10"/>
        <color rgb="FFFF0000"/>
        <rFont val="ＭＳ Ｐゴシック"/>
      </rPr>
      <t>5233</t>
    </r>
  </si>
  <si>
    <t>kenkou@town.fujisato.lg.jp</t>
  </si>
  <si>
    <t>018-875-2805</t>
  </si>
  <si>
    <t>（小児）冨田　和優美、後藤　由希子
（高齢者）渡邊　さやか</t>
    <rPh sb="1" eb="3">
      <t>ショウニ</t>
    </rPh>
    <rPh sb="4" eb="6">
      <t>トミタ</t>
    </rPh>
    <rPh sb="7" eb="8">
      <t>ワ</t>
    </rPh>
    <rPh sb="8" eb="9">
      <t>ユウ</t>
    </rPh>
    <rPh sb="9" eb="10">
      <t>ウツク</t>
    </rPh>
    <rPh sb="11" eb="13">
      <t>ゴトウ</t>
    </rPh>
    <rPh sb="14" eb="17">
      <t>ユキコ</t>
    </rPh>
    <rPh sb="19" eb="22">
      <t>コウレイシャ</t>
    </rPh>
    <rPh sb="23" eb="25">
      <t>ワタナベ</t>
    </rPh>
    <phoneticPr fontId="20"/>
  </si>
  <si>
    <t>0185-24-3333</t>
  </si>
  <si>
    <t>浅利　恭子</t>
    <rPh sb="0" eb="2">
      <t>アサリ</t>
    </rPh>
    <rPh sb="3" eb="5">
      <t>キョウコ</t>
    </rPh>
    <phoneticPr fontId="20"/>
  </si>
  <si>
    <t>健康増進センター</t>
    <rPh sb="0" eb="2">
      <t>ケンコウ</t>
    </rPh>
    <rPh sb="2" eb="4">
      <t>ゾウシン</t>
    </rPh>
    <phoneticPr fontId="20"/>
  </si>
  <si>
    <t>yobou@vill.higashinaruse.lg.jp</t>
  </si>
  <si>
    <t>０１８２－４７－３３６０</t>
  </si>
  <si>
    <t>坂上　洋子</t>
    <rPh sb="0" eb="1">
      <t>サカ</t>
    </rPh>
    <rPh sb="1" eb="2">
      <t>ウエ</t>
    </rPh>
    <rPh sb="3" eb="5">
      <t>ヨウコ</t>
    </rPh>
    <phoneticPr fontId="20"/>
  </si>
  <si>
    <t>遠藤　美香</t>
    <rPh sb="0" eb="2">
      <t>エンドウ</t>
    </rPh>
    <rPh sb="3" eb="5">
      <t>ミカ</t>
    </rPh>
    <phoneticPr fontId="20"/>
  </si>
  <si>
    <t>018-874-2894</t>
  </si>
  <si>
    <t>藤田　美波</t>
    <rPh sb="0" eb="2">
      <t>フジタ</t>
    </rPh>
    <rPh sb="3" eb="5">
      <t>ミナミ</t>
    </rPh>
    <phoneticPr fontId="20"/>
  </si>
  <si>
    <t>亀田　千鶴</t>
    <rPh sb="0" eb="2">
      <t>カメダ</t>
    </rPh>
    <rPh sb="3" eb="5">
      <t>チヅル</t>
    </rPh>
    <phoneticPr fontId="20"/>
  </si>
  <si>
    <t>松岡　奈菜</t>
    <rPh sb="0" eb="2">
      <t>マツオカ</t>
    </rPh>
    <rPh sb="3" eb="5">
      <t>ナナ</t>
    </rPh>
    <phoneticPr fontId="20"/>
  </si>
  <si>
    <t>0186-77-2233</t>
  </si>
  <si>
    <r>
      <t xml:space="preserve">【インフルエンザ（高齢者）・高齢者用肺炎球菌】生活保護受給者は全額助成。接種料金が委託料に満たない場合はその金額。
</t>
    </r>
    <r>
      <rPr>
        <sz val="10"/>
        <color rgb="FFFF0000"/>
        <rFont val="ＭＳ Ｐゴシック"/>
      </rPr>
      <t>押印不要。ただし、余白に「発行責任者職名・氏名、担当者職名・氏名及び連絡先電話番号」を記載すること。発行責任者等記載しない場合は要押印。</t>
    </r>
    <rPh sb="14" eb="18">
      <t>コウレイシャヨウ</t>
    </rPh>
    <rPh sb="18" eb="20">
      <t>ハイエン</t>
    </rPh>
    <rPh sb="20" eb="22">
      <t>キュウキン</t>
    </rPh>
    <rPh sb="23" eb="25">
      <t>セイカツ</t>
    </rPh>
    <rPh sb="25" eb="27">
      <t>ホゴ</t>
    </rPh>
    <rPh sb="27" eb="30">
      <t>ジュキュウシャ</t>
    </rPh>
    <rPh sb="31" eb="33">
      <t>ゼンガク</t>
    </rPh>
    <rPh sb="33" eb="35">
      <t>ジョセイ</t>
    </rPh>
    <rPh sb="36" eb="38">
      <t>セッシュ</t>
    </rPh>
    <rPh sb="38" eb="40">
      <t>リョウキン</t>
    </rPh>
    <rPh sb="41" eb="44">
      <t>イタクリョウ</t>
    </rPh>
    <rPh sb="45" eb="46">
      <t>ミ</t>
    </rPh>
    <rPh sb="49" eb="51">
      <t>バアイ</t>
    </rPh>
    <rPh sb="54" eb="56">
      <t>キンガク</t>
    </rPh>
    <phoneticPr fontId="20"/>
  </si>
  <si>
    <t>kenkou@town.mitane.lg.jp</t>
  </si>
  <si>
    <t>岩井　貴子</t>
  </si>
  <si>
    <t>0187-62-9301</t>
  </si>
  <si>
    <t>登録番号</t>
    <rPh sb="0" eb="2">
      <t>トウロク</t>
    </rPh>
    <rPh sb="2" eb="4">
      <t>バンゴウ</t>
    </rPh>
    <phoneticPr fontId="20"/>
  </si>
  <si>
    <t>１０％対象</t>
    <rPh sb="3" eb="5">
      <t>タイショウ</t>
    </rPh>
    <phoneticPr fontId="20"/>
  </si>
  <si>
    <t>※適格請求書として発行する場合は、適格請求書として必要な事項を記入してください。</t>
    <rPh sb="1" eb="3">
      <t>テキカク</t>
    </rPh>
    <rPh sb="3" eb="6">
      <t>セイキュウショ</t>
    </rPh>
    <rPh sb="9" eb="11">
      <t>ハッコウ</t>
    </rPh>
    <rPh sb="13" eb="15">
      <t>バアイ</t>
    </rPh>
    <rPh sb="17" eb="19">
      <t>テキカク</t>
    </rPh>
    <rPh sb="19" eb="22">
      <t>セイキュウショ</t>
    </rPh>
    <rPh sb="25" eb="27">
      <t>ヒツヨウ</t>
    </rPh>
    <rPh sb="28" eb="30">
      <t>ジコウ</t>
    </rPh>
    <rPh sb="31" eb="33">
      <t>キニュウ</t>
    </rPh>
    <phoneticPr fontId="20"/>
  </si>
  <si>
    <t>備　　　　　　考</t>
    <rPh sb="0" eb="1">
      <t>ビ</t>
    </rPh>
    <rPh sb="7" eb="8">
      <t>コウ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</si>
</sst>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_ "/>
    <numFmt numFmtId="177" formatCode="#,##0_ ;;"/>
    <numFmt numFmtId="178" formatCode="#,##0;\ ;;"/>
    <numFmt numFmtId="179" formatCode="0_ "/>
    <numFmt numFmtId="180" formatCode="[$-411]ggg\ e&quot;年&quot;\ m&quot;月 &quot;d&quot;日&quot;"/>
    <numFmt numFmtId="181" formatCode="0.0_ "/>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theme="10"/>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Ｐ明朝"/>
      <family val="1"/>
    </font>
    <font>
      <sz val="11"/>
      <color auto="1"/>
      <name val="ＭＳ Ｐ明朝"/>
      <family val="1"/>
    </font>
    <font>
      <sz val="10"/>
      <color auto="1"/>
      <name val="ＭＳ Ｐ明朝"/>
      <family val="1"/>
    </font>
    <font>
      <sz val="10"/>
      <color auto="1"/>
      <name val="MS UI Gothic"/>
      <family val="3"/>
    </font>
    <font>
      <sz val="16"/>
      <color auto="1"/>
      <name val="ＭＳ Ｐ明朝"/>
      <family val="1"/>
    </font>
    <font>
      <sz val="9"/>
      <color auto="1"/>
      <name val="ＭＳ Ｐ明朝"/>
      <family val="1"/>
    </font>
    <font>
      <sz val="13"/>
      <color auto="1"/>
      <name val="ＭＳ Ｐ明朝"/>
      <family val="1"/>
    </font>
    <font>
      <b/>
      <sz val="12"/>
      <color auto="1"/>
      <name val="ＭＳ Ｐ明朝"/>
      <family val="1"/>
    </font>
    <font>
      <b/>
      <sz val="11"/>
      <color auto="1"/>
      <name val="ＭＳ Ｐ明朝"/>
      <family val="1"/>
    </font>
    <font>
      <b/>
      <sz val="16"/>
      <color auto="1"/>
      <name val="ＭＳ Ｐ明朝"/>
      <family val="1"/>
    </font>
    <font>
      <b/>
      <sz val="12"/>
      <color indexed="10"/>
      <name val="メイリオ"/>
      <family val="3"/>
    </font>
    <font>
      <b/>
      <sz val="12"/>
      <color auto="1"/>
      <name val="メイリオ"/>
      <family val="3"/>
    </font>
    <font>
      <sz val="12"/>
      <color auto="1"/>
      <name val="MS UI Gothic"/>
      <family val="3"/>
    </font>
    <font>
      <sz val="10"/>
      <color theme="1"/>
      <name val="ＭＳ Ｐゴシック"/>
      <family val="3"/>
    </font>
    <font>
      <b/>
      <sz val="10"/>
      <color theme="1"/>
      <name val="ＭＳ Ｐゴシック"/>
      <family val="3"/>
    </font>
    <font>
      <sz val="10"/>
      <color rgb="FFFF0000"/>
      <name val="ＭＳ Ｐゴシック"/>
      <family val="3"/>
    </font>
    <font>
      <sz val="10"/>
      <color indexed="10"/>
      <name val="ＭＳ Ｐゴシック"/>
      <family val="3"/>
    </font>
    <font>
      <sz val="10"/>
      <color auto="1"/>
      <name val="ＭＳ Ｐゴシック"/>
      <family val="3"/>
    </font>
    <font>
      <sz val="11"/>
      <color theme="1"/>
      <name val="ＭＳ Ｐゴシック"/>
      <family val="3"/>
    </font>
    <font>
      <u/>
      <sz val="11"/>
      <color rgb="FFFF0000"/>
      <name val="ＭＳ Ｐゴシック"/>
      <family val="3"/>
    </font>
    <font>
      <sz val="11"/>
      <color rgb="FFFF0000"/>
      <name val="ＭＳ Ｐゴシック"/>
      <family val="3"/>
    </font>
    <font>
      <u/>
      <sz val="11"/>
      <color theme="1"/>
      <name val="ＭＳ Ｐゴシック"/>
      <family val="3"/>
    </font>
    <font>
      <sz val="11"/>
      <color indexed="20"/>
      <name val="ＭＳ Ｐゴシック"/>
      <family val="3"/>
    </font>
  </fonts>
  <fills count="31">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5"/>
        <bgColor indexed="64"/>
      </patternFill>
    </fill>
    <fill>
      <patternFill patternType="solid">
        <fgColor rgb="FFCCFFCC"/>
        <bgColor indexed="64"/>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auto="1"/>
      </bottom>
      <diagonal/>
    </border>
    <border>
      <left style="thin">
        <color indexed="64"/>
      </left>
      <right/>
      <top/>
      <bottom style="hair">
        <color auto="1"/>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right/>
      <top style="thin">
        <color indexed="64"/>
      </top>
      <bottom style="hair">
        <color auto="1"/>
      </bottom>
      <diagonal/>
    </border>
    <border>
      <left/>
      <right/>
      <top/>
      <bottom style="hair">
        <color auto="1"/>
      </bottom>
      <diagonal/>
    </border>
    <border>
      <left/>
      <right/>
      <top style="thin">
        <color indexed="64"/>
      </top>
      <bottom style="hair">
        <color indexed="64"/>
      </bottom>
      <diagonal/>
    </border>
    <border>
      <left/>
      <right/>
      <top style="hair">
        <color auto="1"/>
      </top>
      <bottom style="thin">
        <color indexed="64"/>
      </bottom>
      <diagonal/>
    </border>
    <border>
      <left/>
      <right/>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hair">
        <color auto="1"/>
      </bottom>
      <diagonal/>
    </border>
    <border>
      <left/>
      <right style="thin">
        <color indexed="64"/>
      </right>
      <top/>
      <bottom style="hair">
        <color auto="1"/>
      </bottom>
      <diagonal/>
    </border>
    <border>
      <left/>
      <right style="thin">
        <color indexed="64"/>
      </right>
      <top style="thin">
        <color indexed="64"/>
      </top>
      <bottom style="hair">
        <color indexed="64"/>
      </bottom>
      <diagonal/>
    </border>
    <border>
      <left/>
      <right style="thin">
        <color indexed="64"/>
      </right>
      <top style="hair">
        <color auto="1"/>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double">
        <color indexed="64"/>
      </bottom>
      <diagonal/>
    </border>
    <border>
      <left style="thin">
        <color indexed="64"/>
      </left>
      <right/>
      <top style="hair">
        <color auto="1"/>
      </top>
      <bottom style="thin">
        <color indexed="64"/>
      </bottom>
      <diagonal/>
    </border>
    <border diagonalUp="1">
      <left style="thin">
        <color indexed="64"/>
      </left>
      <right/>
      <top style="double">
        <color indexed="64"/>
      </top>
      <bottom style="thin">
        <color indexed="64"/>
      </bottom>
      <diagonal style="thin">
        <color indexed="64"/>
      </diagonal>
    </border>
    <border>
      <left/>
      <right style="thin">
        <color auto="1"/>
      </right>
      <top/>
      <bottom style="double">
        <color indexed="64"/>
      </bottom>
      <diagonal/>
    </border>
    <border diagonalUp="1">
      <left/>
      <right/>
      <top style="double">
        <color indexed="64"/>
      </top>
      <bottom style="thin">
        <color indexed="64"/>
      </bottom>
      <diagonal style="thin">
        <color indexed="64"/>
      </diagonal>
    </border>
    <border>
      <left/>
      <right style="thin">
        <color indexed="64"/>
      </right>
      <top style="thin">
        <color indexed="64"/>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cellStyleXfs>
  <cellXfs count="318">
    <xf numFmtId="0" fontId="0" fillId="0" borderId="0" xfId="0"/>
    <xf numFmtId="0" fontId="21"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5" fillId="0" borderId="0" xfId="0" applyFont="1" applyBorder="1" applyAlignment="1" applyProtection="1">
      <alignment horizontal="center" vertical="center"/>
    </xf>
    <xf numFmtId="0" fontId="21" fillId="0" borderId="0" xfId="0" applyFont="1" applyAlignment="1" applyProtection="1">
      <alignment horizontal="left" vertical="center"/>
    </xf>
    <xf numFmtId="0" fontId="22" fillId="0" borderId="10" xfId="0" applyFont="1" applyBorder="1" applyAlignment="1" applyProtection="1">
      <alignment horizontal="center" vertical="center"/>
    </xf>
    <xf numFmtId="0" fontId="22" fillId="0" borderId="11" xfId="0" applyFont="1" applyBorder="1" applyAlignment="1" applyProtection="1">
      <alignment horizontal="left" vertical="center" wrapText="1" indent="1"/>
    </xf>
    <xf numFmtId="0" fontId="0" fillId="0" borderId="12" xfId="0" applyFont="1" applyBorder="1" applyAlignment="1">
      <alignment horizontal="left" vertical="center" indent="1"/>
    </xf>
    <xf numFmtId="0" fontId="22" fillId="0" borderId="10" xfId="0" applyFont="1" applyBorder="1" applyAlignment="1" applyProtection="1">
      <alignment horizontal="left" vertical="center" indent="1"/>
    </xf>
    <xf numFmtId="0" fontId="22" fillId="0" borderId="13" xfId="0" applyFont="1" applyBorder="1" applyAlignment="1" applyProtection="1">
      <alignment horizontal="left" vertical="center" wrapText="1" indent="1"/>
    </xf>
    <xf numFmtId="0" fontId="22" fillId="0" borderId="12" xfId="0" applyFont="1" applyBorder="1" applyAlignment="1" applyProtection="1">
      <alignment horizontal="left" vertical="center" wrapText="1" indent="1"/>
    </xf>
    <xf numFmtId="0" fontId="22" fillId="0" borderId="14" xfId="0" applyFont="1" applyBorder="1" applyAlignment="1" applyProtection="1">
      <alignment horizontal="left" vertical="center" wrapText="1" indent="1"/>
    </xf>
    <xf numFmtId="0" fontId="22" fillId="0" borderId="11" xfId="0" applyFont="1" applyBorder="1" applyAlignment="1" applyProtection="1">
      <alignment horizontal="left" vertical="center" indent="1" shrinkToFit="1"/>
    </xf>
    <xf numFmtId="0" fontId="22" fillId="0" borderId="13" xfId="0" applyFont="1" applyBorder="1" applyAlignment="1" applyProtection="1">
      <alignment horizontal="left" vertical="center" indent="1" shrinkToFit="1"/>
    </xf>
    <xf numFmtId="0" fontId="22" fillId="0" borderId="12" xfId="0" applyFont="1" applyBorder="1" applyAlignment="1" applyProtection="1">
      <alignment horizontal="left" vertical="center" indent="1" shrinkToFit="1"/>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4" xfId="0" applyFont="1" applyBorder="1" applyAlignment="1" applyProtection="1">
      <alignment horizontal="center" vertical="center"/>
    </xf>
    <xf numFmtId="0" fontId="26" fillId="0" borderId="11" xfId="0" applyFont="1" applyBorder="1" applyAlignment="1" applyProtection="1">
      <alignment horizontal="center"/>
    </xf>
    <xf numFmtId="0" fontId="22" fillId="0" borderId="12" xfId="0" applyFont="1" applyBorder="1" applyAlignment="1" applyProtection="1">
      <alignment horizontal="center" vertical="top"/>
    </xf>
    <xf numFmtId="0" fontId="24" fillId="0" borderId="0" xfId="0" applyFont="1" applyAlignment="1" applyProtection="1">
      <alignment horizontal="center" vertical="center"/>
    </xf>
    <xf numFmtId="0" fontId="21" fillId="0" borderId="0" xfId="0" applyFont="1" applyBorder="1" applyAlignment="1" applyProtection="1">
      <alignment vertical="center"/>
      <protection locked="0"/>
    </xf>
    <xf numFmtId="0" fontId="21" fillId="0" borderId="0" xfId="0" applyFont="1" applyAlignment="1" applyProtection="1">
      <alignment horizontal="center" vertical="center"/>
    </xf>
    <xf numFmtId="0" fontId="0" fillId="0" borderId="17" xfId="0" applyBorder="1" applyAlignment="1">
      <alignment horizontal="center" vertical="center"/>
    </xf>
    <xf numFmtId="0" fontId="0" fillId="0" borderId="18" xfId="0" applyFont="1" applyBorder="1" applyAlignment="1">
      <alignment horizontal="left" vertical="center" indent="1"/>
    </xf>
    <xf numFmtId="0" fontId="0" fillId="0" borderId="19" xfId="0" applyFont="1" applyBorder="1" applyAlignment="1">
      <alignment horizontal="left" vertical="center" indent="1"/>
    </xf>
    <xf numFmtId="0" fontId="22" fillId="0" borderId="17" xfId="0" applyFont="1" applyBorder="1" applyAlignment="1" applyProtection="1">
      <alignment horizontal="left" vertical="center" indent="1"/>
    </xf>
    <xf numFmtId="0" fontId="22" fillId="0" borderId="18" xfId="0" applyFont="1" applyBorder="1" applyAlignment="1" applyProtection="1">
      <alignment horizontal="left" vertical="center" wrapText="1" indent="1"/>
    </xf>
    <xf numFmtId="0" fontId="22" fillId="0" borderId="0" xfId="0" applyFont="1" applyBorder="1" applyAlignment="1" applyProtection="1">
      <alignment horizontal="left" vertical="center" wrapText="1" indent="1"/>
    </xf>
    <xf numFmtId="0" fontId="22" fillId="0" borderId="19" xfId="0" applyFont="1" applyBorder="1" applyAlignment="1" applyProtection="1">
      <alignment horizontal="left" vertical="center" wrapText="1" indent="1"/>
    </xf>
    <xf numFmtId="0" fontId="22" fillId="0" borderId="18" xfId="0" applyFont="1" applyBorder="1" applyAlignment="1" applyProtection="1">
      <alignment horizontal="left" vertical="center" indent="1" shrinkToFit="1"/>
    </xf>
    <xf numFmtId="0" fontId="22" fillId="0" borderId="0" xfId="0" applyFont="1" applyBorder="1" applyAlignment="1" applyProtection="1">
      <alignment horizontal="left" vertical="center" indent="1" shrinkToFit="1"/>
    </xf>
    <xf numFmtId="0" fontId="22" fillId="0" borderId="19" xfId="0" applyFont="1" applyBorder="1" applyAlignment="1" applyProtection="1">
      <alignment horizontal="left" vertical="center" indent="1" shrinkToFit="1"/>
    </xf>
    <xf numFmtId="0" fontId="22" fillId="0" borderId="20" xfId="0" applyFont="1" applyBorder="1" applyAlignment="1" applyProtection="1">
      <alignment horizontal="center" vertical="center"/>
    </xf>
    <xf numFmtId="0" fontId="22" fillId="0" borderId="21"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17" xfId="0" applyFont="1" applyBorder="1" applyAlignment="1" applyProtection="1">
      <alignment horizontal="center" vertical="center"/>
    </xf>
    <xf numFmtId="0" fontId="22" fillId="0" borderId="17" xfId="0" applyFont="1" applyBorder="1" applyAlignment="1" applyProtection="1">
      <alignment horizontal="center" vertical="center"/>
    </xf>
    <xf numFmtId="0" fontId="26" fillId="0" borderId="18" xfId="0" applyFont="1" applyBorder="1" applyAlignment="1" applyProtection="1">
      <alignment horizontal="center"/>
    </xf>
    <xf numFmtId="0" fontId="22" fillId="0" borderId="19" xfId="0" applyFont="1" applyBorder="1" applyAlignment="1" applyProtection="1">
      <alignment horizontal="center" vertical="top"/>
    </xf>
    <xf numFmtId="0" fontId="24" fillId="0" borderId="0" xfId="0" applyFont="1" applyBorder="1" applyAlignment="1" applyProtection="1">
      <alignment horizontal="distributed" vertical="center"/>
    </xf>
    <xf numFmtId="0" fontId="21" fillId="24" borderId="0" xfId="0" applyNumberFormat="1" applyFont="1" applyFill="1" applyAlignment="1" applyProtection="1">
      <alignment horizontal="left" vertical="center" shrinkToFit="1"/>
      <protection locked="0"/>
    </xf>
    <xf numFmtId="0" fontId="0" fillId="0" borderId="22" xfId="0" applyBorder="1" applyAlignment="1">
      <alignment horizontal="center" vertical="center"/>
    </xf>
    <xf numFmtId="0" fontId="0" fillId="0" borderId="23" xfId="0" applyFont="1" applyBorder="1" applyAlignment="1">
      <alignment horizontal="left" vertical="center" indent="1"/>
    </xf>
    <xf numFmtId="0" fontId="0" fillId="0" borderId="24" xfId="0" applyFont="1" applyBorder="1" applyAlignment="1">
      <alignment horizontal="left" vertical="center" indent="1"/>
    </xf>
    <xf numFmtId="0" fontId="22" fillId="0" borderId="23" xfId="0" applyFont="1" applyBorder="1" applyAlignment="1" applyProtection="1">
      <alignment horizontal="left" vertical="center" wrapText="1" indent="1"/>
    </xf>
    <xf numFmtId="0" fontId="22" fillId="0" borderId="25" xfId="0" applyFont="1" applyBorder="1" applyAlignment="1" applyProtection="1">
      <alignment horizontal="left" vertical="center" wrapText="1" indent="1"/>
    </xf>
    <xf numFmtId="0" fontId="22" fillId="0" borderId="24" xfId="0" applyFont="1" applyBorder="1" applyAlignment="1" applyProtection="1">
      <alignment horizontal="left" vertical="center" wrapText="1" indent="1"/>
    </xf>
    <xf numFmtId="0" fontId="22" fillId="0" borderId="23" xfId="0" applyFont="1" applyBorder="1" applyAlignment="1" applyProtection="1">
      <alignment horizontal="left" vertical="center" indent="1" shrinkToFit="1"/>
    </xf>
    <xf numFmtId="0" fontId="22" fillId="0" borderId="25" xfId="0" applyFont="1" applyBorder="1" applyAlignment="1" applyProtection="1">
      <alignment horizontal="left" vertical="center" indent="1" shrinkToFit="1"/>
    </xf>
    <xf numFmtId="0" fontId="22" fillId="0" borderId="24" xfId="0" applyFont="1" applyBorder="1" applyAlignment="1" applyProtection="1">
      <alignment horizontal="left" vertical="center" indent="1" shrinkToFit="1"/>
    </xf>
    <xf numFmtId="0" fontId="23" fillId="0" borderId="24" xfId="0" applyFont="1" applyBorder="1" applyAlignment="1" applyProtection="1">
      <alignment horizontal="center" vertical="center"/>
    </xf>
    <xf numFmtId="0" fontId="23" fillId="0" borderId="22" xfId="0" applyFont="1" applyBorder="1" applyAlignment="1" applyProtection="1">
      <alignment horizontal="center" vertical="center"/>
    </xf>
    <xf numFmtId="0" fontId="22" fillId="0" borderId="22" xfId="0" applyFont="1" applyBorder="1" applyAlignment="1" applyProtection="1">
      <alignment horizontal="center" vertical="center"/>
    </xf>
    <xf numFmtId="0" fontId="26" fillId="0" borderId="23" xfId="0" applyFont="1" applyBorder="1" applyAlignment="1" applyProtection="1">
      <alignment horizontal="center"/>
    </xf>
    <xf numFmtId="0" fontId="22" fillId="0" borderId="24" xfId="0" applyFont="1" applyBorder="1" applyAlignment="1" applyProtection="1">
      <alignment horizontal="center" vertical="top"/>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1"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0" fontId="22" fillId="0" borderId="26" xfId="0" applyFont="1" applyBorder="1" applyAlignment="1" applyProtection="1">
      <alignment horizontal="left" vertical="center" indent="1"/>
    </xf>
    <xf numFmtId="0" fontId="22" fillId="0" borderId="27" xfId="0" applyFont="1" applyBorder="1" applyAlignment="1" applyProtection="1">
      <alignment horizontal="left" vertical="center" indent="1"/>
    </xf>
    <xf numFmtId="0" fontId="22" fillId="0" borderId="12" xfId="0" applyFont="1" applyBorder="1" applyAlignment="1" applyProtection="1">
      <alignment horizontal="left" vertical="center" indent="1"/>
    </xf>
    <xf numFmtId="0" fontId="22" fillId="0" borderId="28" xfId="0" applyFont="1" applyFill="1" applyBorder="1" applyAlignment="1" applyProtection="1">
      <alignment horizontal="center" vertical="center"/>
    </xf>
    <xf numFmtId="0" fontId="22" fillId="0" borderId="13"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29" xfId="0" applyFont="1" applyBorder="1" applyAlignment="1" applyProtection="1">
      <alignment horizontal="center" vertical="center" shrinkToFit="1"/>
    </xf>
    <xf numFmtId="0" fontId="26" fillId="0" borderId="19" xfId="0" applyFont="1" applyBorder="1" applyAlignment="1" applyProtection="1">
      <alignment vertical="center" shrinkToFit="1"/>
    </xf>
    <xf numFmtId="0" fontId="26" fillId="0" borderId="10" xfId="0" applyFont="1" applyBorder="1" applyAlignment="1">
      <alignment vertical="center" wrapText="1" shrinkToFit="1"/>
    </xf>
    <xf numFmtId="0" fontId="26" fillId="0" borderId="14" xfId="0" applyFont="1" applyBorder="1" applyAlignment="1">
      <alignment vertical="center" wrapText="1" shrinkToFit="1"/>
    </xf>
    <xf numFmtId="176" fontId="27" fillId="25" borderId="10" xfId="0" applyNumberFormat="1" applyFont="1" applyFill="1" applyBorder="1" applyAlignment="1" applyProtection="1">
      <alignment vertical="center"/>
      <protection locked="0"/>
    </xf>
    <xf numFmtId="0" fontId="22" fillId="26" borderId="10" xfId="0" applyFont="1" applyFill="1" applyBorder="1" applyAlignment="1" applyProtection="1">
      <alignment horizontal="center" vertical="center" shrinkToFit="1"/>
      <protection locked="0"/>
    </xf>
    <xf numFmtId="0" fontId="22" fillId="26" borderId="17" xfId="0" applyFont="1" applyFill="1" applyBorder="1" applyAlignment="1" applyProtection="1">
      <alignment horizontal="center" vertical="center"/>
      <protection locked="0"/>
    </xf>
    <xf numFmtId="0" fontId="26" fillId="26" borderId="18" xfId="0" applyFont="1" applyFill="1" applyBorder="1" applyAlignment="1" applyProtection="1">
      <alignment vertical="center"/>
      <protection locked="0"/>
    </xf>
    <xf numFmtId="0" fontId="22" fillId="26" borderId="19" xfId="0" applyFont="1" applyFill="1" applyBorder="1" applyAlignment="1" applyProtection="1">
      <alignment vertical="center"/>
      <protection locked="0"/>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shrinkToFit="1"/>
    </xf>
    <xf numFmtId="0" fontId="22" fillId="0" borderId="19" xfId="0" applyFont="1" applyBorder="1" applyAlignment="1" applyProtection="1">
      <alignment horizontal="center" vertical="center" shrinkToFit="1"/>
    </xf>
    <xf numFmtId="0" fontId="22" fillId="0" borderId="30" xfId="0" applyFont="1" applyBorder="1" applyAlignment="1" applyProtection="1">
      <alignment horizontal="left" vertical="center" indent="1"/>
    </xf>
    <xf numFmtId="0" fontId="22" fillId="0" borderId="31" xfId="0" applyFont="1" applyBorder="1" applyAlignment="1" applyProtection="1">
      <alignment horizontal="left" vertical="center" indent="1"/>
    </xf>
    <xf numFmtId="0" fontId="22" fillId="0" borderId="19" xfId="0" applyFont="1" applyBorder="1" applyAlignment="1" applyProtection="1">
      <alignment horizontal="left" vertical="center" indent="1"/>
    </xf>
    <xf numFmtId="0" fontId="22" fillId="0" borderId="32" xfId="0" applyFont="1" applyFill="1" applyBorder="1" applyAlignment="1" applyProtection="1">
      <alignment horizontal="center" vertical="center"/>
    </xf>
    <xf numFmtId="0" fontId="22" fillId="0" borderId="31"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22" fillId="0" borderId="30" xfId="0" applyFont="1" applyBorder="1" applyAlignment="1" applyProtection="1">
      <alignment horizontal="center" vertical="center" shrinkToFit="1"/>
    </xf>
    <xf numFmtId="0" fontId="22" fillId="0" borderId="34" xfId="0" applyFont="1" applyBorder="1" applyAlignment="1" applyProtection="1">
      <alignment horizontal="center" vertical="center" shrinkToFit="1"/>
    </xf>
    <xf numFmtId="0" fontId="22" fillId="0" borderId="35" xfId="0" applyFont="1" applyBorder="1" applyAlignment="1" applyProtection="1">
      <alignment horizontal="center" vertical="center"/>
    </xf>
    <xf numFmtId="0" fontId="26" fillId="0" borderId="17" xfId="0" applyFont="1" applyBorder="1" applyAlignment="1">
      <alignment vertical="center" wrapText="1" shrinkToFit="1"/>
    </xf>
    <xf numFmtId="176" fontId="27" fillId="25" borderId="17" xfId="0" applyNumberFormat="1" applyFont="1" applyFill="1" applyBorder="1" applyAlignment="1" applyProtection="1">
      <alignment vertical="center"/>
      <protection locked="0"/>
    </xf>
    <xf numFmtId="0" fontId="0" fillId="26" borderId="17" xfId="0" applyFont="1" applyFill="1" applyBorder="1" applyAlignment="1">
      <alignment horizontal="center" shrinkToFit="1"/>
    </xf>
    <xf numFmtId="0" fontId="24" fillId="0" borderId="0" xfId="0" applyFont="1" applyBorder="1" applyAlignment="1" applyProtection="1">
      <alignment horizontal="right" vertical="center"/>
    </xf>
    <xf numFmtId="0" fontId="21" fillId="0" borderId="0" xfId="0" applyFont="1" applyAlignment="1" applyProtection="1">
      <alignment horizontal="right" vertical="center"/>
    </xf>
    <xf numFmtId="0" fontId="28" fillId="0" borderId="0" xfId="0" applyFont="1" applyAlignment="1" applyProtection="1">
      <alignment horizontal="distributed" vertical="center"/>
    </xf>
    <xf numFmtId="177" fontId="27" fillId="27" borderId="36" xfId="0" applyNumberFormat="1" applyFont="1" applyFill="1" applyBorder="1" applyAlignment="1" applyProtection="1">
      <alignment horizontal="right" vertical="center"/>
    </xf>
    <xf numFmtId="177" fontId="27" fillId="27" borderId="21" xfId="0" applyNumberFormat="1" applyFont="1" applyFill="1" applyBorder="1" applyAlignment="1" applyProtection="1">
      <alignment horizontal="right" vertical="center"/>
    </xf>
    <xf numFmtId="0" fontId="22" fillId="0" borderId="23"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2" xfId="0" applyFont="1" applyBorder="1" applyAlignment="1" applyProtection="1">
      <alignment horizontal="left" vertical="center" indent="1"/>
    </xf>
    <xf numFmtId="0" fontId="22" fillId="0" borderId="23" xfId="0" applyFont="1" applyBorder="1" applyAlignment="1" applyProtection="1">
      <alignment horizontal="center" vertical="center" shrinkToFit="1"/>
    </xf>
    <xf numFmtId="0" fontId="22" fillId="0" borderId="24" xfId="0" applyFont="1" applyBorder="1" applyAlignment="1" applyProtection="1">
      <alignment horizontal="center" vertical="center" shrinkToFit="1"/>
    </xf>
    <xf numFmtId="0" fontId="22" fillId="0" borderId="37" xfId="0" applyFont="1" applyBorder="1" applyAlignment="1" applyProtection="1">
      <alignment horizontal="left" vertical="center" indent="1"/>
    </xf>
    <xf numFmtId="0" fontId="22" fillId="0" borderId="38" xfId="0" applyFont="1" applyBorder="1" applyAlignment="1" applyProtection="1">
      <alignment horizontal="left" vertical="center" indent="1"/>
    </xf>
    <xf numFmtId="0" fontId="22" fillId="0" borderId="24" xfId="0" applyFont="1" applyBorder="1" applyAlignment="1" applyProtection="1">
      <alignment horizontal="left" vertical="center" indent="1"/>
    </xf>
    <xf numFmtId="0" fontId="22" fillId="0" borderId="39" xfId="0" applyFont="1" applyFill="1" applyBorder="1" applyAlignment="1" applyProtection="1">
      <alignment horizontal="center" vertical="center"/>
    </xf>
    <xf numFmtId="0" fontId="22" fillId="0" borderId="38" xfId="0" applyFont="1" applyBorder="1" applyAlignment="1" applyProtection="1">
      <alignment horizontal="center" vertical="center" shrinkToFit="1"/>
    </xf>
    <xf numFmtId="0" fontId="22" fillId="0" borderId="25" xfId="0" applyFont="1" applyBorder="1" applyAlignment="1" applyProtection="1">
      <alignment horizontal="center" vertical="center" shrinkToFit="1"/>
    </xf>
    <xf numFmtId="0" fontId="22" fillId="0" borderId="40" xfId="0" applyFont="1" applyBorder="1" applyAlignment="1" applyProtection="1">
      <alignment horizontal="center" vertical="center" shrinkToFit="1"/>
    </xf>
    <xf numFmtId="0" fontId="22" fillId="0" borderId="37" xfId="0" applyFont="1" applyBorder="1" applyAlignment="1" applyProtection="1">
      <alignment horizontal="center" vertical="center" shrinkToFit="1"/>
    </xf>
    <xf numFmtId="0" fontId="22" fillId="0" borderId="41" xfId="0" applyFont="1" applyBorder="1" applyAlignment="1" applyProtection="1">
      <alignment horizontal="center" vertical="center" shrinkToFit="1"/>
    </xf>
    <xf numFmtId="0" fontId="22" fillId="0" borderId="42" xfId="0" applyFont="1" applyBorder="1" applyAlignment="1" applyProtection="1">
      <alignment horizontal="center" vertical="center"/>
    </xf>
    <xf numFmtId="0" fontId="21" fillId="25" borderId="0" xfId="0" applyNumberFormat="1" applyFont="1" applyFill="1" applyBorder="1" applyAlignment="1" applyProtection="1">
      <alignment horizontal="center" vertical="center"/>
      <protection locked="0"/>
    </xf>
    <xf numFmtId="0" fontId="22" fillId="0" borderId="14" xfId="0" applyFont="1" applyBorder="1" applyAlignment="1" applyProtection="1">
      <alignment horizontal="center" vertical="center"/>
    </xf>
    <xf numFmtId="176" fontId="27" fillId="25" borderId="43" xfId="0" applyNumberFormat="1" applyFont="1" applyFill="1" applyBorder="1" applyAlignment="1" applyProtection="1">
      <alignment vertical="center"/>
      <protection locked="0"/>
    </xf>
    <xf numFmtId="176" fontId="27" fillId="25" borderId="44" xfId="0" applyNumberFormat="1" applyFont="1" applyFill="1" applyBorder="1" applyAlignment="1" applyProtection="1">
      <alignment vertical="center"/>
      <protection locked="0"/>
    </xf>
    <xf numFmtId="176" fontId="27" fillId="25" borderId="14" xfId="0" applyNumberFormat="1" applyFont="1" applyFill="1" applyBorder="1" applyAlignment="1" applyProtection="1">
      <alignment vertical="center"/>
      <protection locked="0"/>
    </xf>
    <xf numFmtId="176" fontId="27" fillId="25" borderId="45" xfId="0" applyNumberFormat="1" applyFont="1" applyFill="1" applyBorder="1" applyAlignment="1" applyProtection="1">
      <alignment vertical="center"/>
      <protection locked="0"/>
    </xf>
    <xf numFmtId="176" fontId="27" fillId="25" borderId="27" xfId="0" applyNumberFormat="1" applyFont="1" applyFill="1" applyBorder="1" applyAlignment="1" applyProtection="1">
      <alignment vertical="center"/>
      <protection locked="0"/>
    </xf>
    <xf numFmtId="176" fontId="27" fillId="25" borderId="12" xfId="0" applyNumberFormat="1" applyFont="1" applyFill="1" applyBorder="1" applyAlignment="1" applyProtection="1">
      <alignment vertical="center"/>
      <protection locked="0"/>
    </xf>
    <xf numFmtId="176" fontId="27" fillId="25" borderId="46" xfId="0" applyNumberFormat="1" applyFont="1" applyFill="1" applyBorder="1" applyAlignment="1" applyProtection="1">
      <alignment vertical="center"/>
      <protection locked="0"/>
    </xf>
    <xf numFmtId="176" fontId="27" fillId="25" borderId="11" xfId="0" applyNumberFormat="1" applyFont="1" applyFill="1" applyBorder="1" applyAlignment="1" applyProtection="1">
      <alignment vertical="center"/>
      <protection locked="0"/>
    </xf>
    <xf numFmtId="176" fontId="27" fillId="25" borderId="47" xfId="0" applyNumberFormat="1" applyFont="1" applyFill="1" applyBorder="1" applyAlignment="1" applyProtection="1">
      <alignment vertical="center"/>
      <protection locked="0"/>
    </xf>
    <xf numFmtId="176" fontId="27" fillId="25" borderId="48" xfId="0" applyNumberFormat="1" applyFont="1" applyFill="1" applyBorder="1" applyAlignment="1" applyProtection="1">
      <alignment vertical="center"/>
      <protection locked="0"/>
    </xf>
    <xf numFmtId="176" fontId="27" fillId="25" borderId="49" xfId="0" applyNumberFormat="1" applyFont="1" applyFill="1" applyBorder="1" applyAlignment="1" applyProtection="1">
      <alignment vertical="center"/>
      <protection locked="0"/>
    </xf>
    <xf numFmtId="176" fontId="27" fillId="25" borderId="50" xfId="0" applyNumberFormat="1" applyFont="1" applyFill="1" applyBorder="1" applyAlignment="1" applyProtection="1">
      <alignment vertical="center"/>
      <protection locked="0"/>
    </xf>
    <xf numFmtId="177" fontId="27" fillId="0" borderId="44" xfId="0" applyNumberFormat="1" applyFont="1" applyFill="1" applyBorder="1" applyAlignment="1" applyProtection="1">
      <alignment vertical="center"/>
    </xf>
    <xf numFmtId="0" fontId="29" fillId="0" borderId="0" xfId="0" applyFont="1" applyAlignment="1" applyProtection="1">
      <alignment vertical="center"/>
    </xf>
    <xf numFmtId="176" fontId="27" fillId="25" borderId="31" xfId="0" applyNumberFormat="1" applyFont="1" applyFill="1" applyBorder="1" applyAlignment="1" applyProtection="1">
      <alignment vertical="center"/>
      <protection locked="0"/>
    </xf>
    <xf numFmtId="176" fontId="27" fillId="25" borderId="19" xfId="0" applyNumberFormat="1" applyFont="1" applyFill="1" applyBorder="1" applyAlignment="1" applyProtection="1">
      <alignment vertical="center"/>
      <protection locked="0"/>
    </xf>
    <xf numFmtId="176" fontId="27" fillId="25" borderId="18" xfId="0" applyNumberFormat="1" applyFont="1" applyFill="1" applyBorder="1" applyAlignment="1" applyProtection="1">
      <alignment vertical="center"/>
      <protection locked="0"/>
    </xf>
    <xf numFmtId="0" fontId="21" fillId="25" borderId="0" xfId="0" applyFont="1" applyFill="1" applyAlignment="1" applyProtection="1">
      <alignment horizontal="center" vertical="center"/>
      <protection locked="0"/>
    </xf>
    <xf numFmtId="0" fontId="24" fillId="0" borderId="19" xfId="0" applyFont="1" applyBorder="1" applyAlignment="1" applyProtection="1">
      <alignment horizontal="center" vertical="center" shrinkToFit="1"/>
    </xf>
    <xf numFmtId="178" fontId="30" fillId="0" borderId="0" xfId="44" applyNumberFormat="1" applyFont="1" applyAlignment="1" applyProtection="1">
      <alignment horizontal="center" vertical="center"/>
    </xf>
    <xf numFmtId="176" fontId="27" fillId="25" borderId="26" xfId="0" applyNumberFormat="1" applyFont="1" applyFill="1" applyBorder="1" applyAlignment="1" applyProtection="1">
      <alignment vertical="center"/>
      <protection locked="0"/>
    </xf>
    <xf numFmtId="176" fontId="27" fillId="25" borderId="28" xfId="0" applyNumberFormat="1" applyFont="1" applyFill="1" applyBorder="1" applyAlignment="1" applyProtection="1">
      <alignment vertical="center"/>
      <protection locked="0"/>
    </xf>
    <xf numFmtId="176" fontId="27" fillId="25" borderId="13" xfId="0" applyNumberFormat="1" applyFont="1" applyFill="1" applyBorder="1" applyAlignment="1" applyProtection="1">
      <alignment vertical="center"/>
      <protection locked="0"/>
    </xf>
    <xf numFmtId="176" fontId="27" fillId="25" borderId="51" xfId="0" applyNumberFormat="1" applyFont="1" applyFill="1" applyBorder="1" applyAlignment="1" applyProtection="1">
      <alignment vertical="center"/>
      <protection locked="0"/>
    </xf>
    <xf numFmtId="176" fontId="27" fillId="25" borderId="29" xfId="0" applyNumberFormat="1" applyFont="1" applyFill="1" applyBorder="1" applyAlignment="1" applyProtection="1">
      <alignment vertical="center"/>
      <protection locked="0"/>
    </xf>
    <xf numFmtId="177" fontId="27" fillId="0" borderId="12" xfId="0" applyNumberFormat="1" applyFont="1" applyFill="1" applyBorder="1" applyAlignment="1" applyProtection="1">
      <alignment vertical="center"/>
    </xf>
    <xf numFmtId="0" fontId="0" fillId="0" borderId="0" xfId="0" applyAlignment="1">
      <alignment vertical="center" shrinkToFit="1"/>
    </xf>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21" fillId="0" borderId="0" xfId="0" applyFont="1" applyBorder="1" applyAlignment="1" applyProtection="1">
      <alignment horizontal="distributed" vertical="center"/>
    </xf>
    <xf numFmtId="0" fontId="21" fillId="0" borderId="0" xfId="0" applyFont="1" applyAlignment="1" applyProtection="1">
      <alignment horizontal="distributed" vertical="center"/>
    </xf>
    <xf numFmtId="0" fontId="22" fillId="0" borderId="43" xfId="0" applyFont="1" applyBorder="1" applyAlignment="1" applyProtection="1">
      <alignment horizontal="center" vertical="center"/>
    </xf>
    <xf numFmtId="0" fontId="22" fillId="0" borderId="4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47" xfId="0" applyFont="1" applyBorder="1" applyAlignment="1" applyProtection="1">
      <alignment horizontal="center" vertical="center"/>
    </xf>
    <xf numFmtId="0" fontId="22" fillId="0" borderId="46" xfId="0" applyFont="1" applyFill="1" applyBorder="1" applyAlignment="1" applyProtection="1">
      <alignment horizontal="center" vertical="center"/>
    </xf>
    <xf numFmtId="0" fontId="22" fillId="0" borderId="48" xfId="0" applyFont="1" applyBorder="1" applyAlignment="1" applyProtection="1">
      <alignment horizontal="center" vertical="center"/>
    </xf>
    <xf numFmtId="0" fontId="22" fillId="0" borderId="49" xfId="0" applyFont="1" applyBorder="1" applyAlignment="1" applyProtection="1">
      <alignment horizontal="center" vertical="center"/>
    </xf>
    <xf numFmtId="0" fontId="22" fillId="0" borderId="50" xfId="0"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0" fillId="26" borderId="22" xfId="0" applyFont="1" applyFill="1" applyBorder="1" applyAlignment="1">
      <alignment horizontal="center" shrinkToFit="1"/>
    </xf>
    <xf numFmtId="0" fontId="22" fillId="26" borderId="22" xfId="0" applyFont="1" applyFill="1" applyBorder="1" applyAlignment="1" applyProtection="1">
      <alignment horizontal="center" vertical="center"/>
      <protection locked="0"/>
    </xf>
    <xf numFmtId="177" fontId="27" fillId="0" borderId="11" xfId="0" applyNumberFormat="1" applyFont="1" applyBorder="1" applyAlignment="1" applyProtection="1">
      <alignment vertical="center"/>
    </xf>
    <xf numFmtId="177" fontId="27" fillId="0" borderId="10" xfId="0" applyNumberFormat="1" applyFont="1" applyBorder="1" applyAlignment="1" applyProtection="1">
      <alignment vertical="center"/>
    </xf>
    <xf numFmtId="177" fontId="27" fillId="0" borderId="43" xfId="0" applyNumberFormat="1" applyFont="1" applyBorder="1" applyAlignment="1" applyProtection="1">
      <alignment vertical="center"/>
    </xf>
    <xf numFmtId="177" fontId="27" fillId="0" borderId="26" xfId="0" applyNumberFormat="1" applyFont="1" applyBorder="1" applyAlignment="1" applyProtection="1">
      <alignment vertical="center"/>
    </xf>
    <xf numFmtId="177" fontId="27" fillId="0" borderId="27" xfId="0" applyNumberFormat="1" applyFont="1" applyBorder="1" applyAlignment="1" applyProtection="1">
      <alignment vertical="center"/>
    </xf>
    <xf numFmtId="177" fontId="27" fillId="0" borderId="28" xfId="0" applyNumberFormat="1" applyFont="1" applyFill="1" applyBorder="1" applyAlignment="1" applyProtection="1">
      <alignment vertical="center"/>
    </xf>
    <xf numFmtId="179" fontId="27" fillId="25" borderId="11" xfId="0" applyNumberFormat="1" applyFont="1" applyFill="1" applyBorder="1" applyAlignment="1" applyProtection="1">
      <alignment vertical="center"/>
      <protection locked="0"/>
    </xf>
    <xf numFmtId="177" fontId="27" fillId="0" borderId="13" xfId="0" applyNumberFormat="1" applyFont="1" applyBorder="1" applyAlignment="1" applyProtection="1">
      <alignment vertical="center"/>
    </xf>
    <xf numFmtId="177" fontId="27" fillId="0" borderId="51" xfId="0" applyNumberFormat="1" applyFont="1" applyFill="1" applyBorder="1" applyAlignment="1" applyProtection="1">
      <alignment vertical="center"/>
    </xf>
    <xf numFmtId="177" fontId="27" fillId="0" borderId="29" xfId="0" applyNumberFormat="1" applyFont="1" applyBorder="1" applyAlignment="1" applyProtection="1">
      <alignment vertical="center"/>
    </xf>
    <xf numFmtId="0" fontId="0" fillId="0" borderId="52" xfId="0" applyBorder="1" applyAlignment="1">
      <alignment horizontal="center" vertical="center"/>
    </xf>
    <xf numFmtId="0" fontId="0" fillId="0" borderId="53" xfId="0" applyNumberFormat="1" applyFont="1" applyBorder="1" applyAlignment="1" applyProtection="1">
      <alignment horizontal="center" vertical="center"/>
    </xf>
    <xf numFmtId="0" fontId="22" fillId="28" borderId="19" xfId="0" applyFont="1" applyFill="1" applyBorder="1" applyAlignment="1" applyProtection="1">
      <alignment horizontal="center" vertical="center" shrinkToFit="1"/>
    </xf>
    <xf numFmtId="177" fontId="27" fillId="0" borderId="18" xfId="0" applyNumberFormat="1" applyFont="1" applyBorder="1" applyAlignment="1" applyProtection="1">
      <alignment vertical="center"/>
    </xf>
    <xf numFmtId="177" fontId="27" fillId="0" borderId="19" xfId="0" applyNumberFormat="1" applyFont="1" applyBorder="1" applyAlignment="1" applyProtection="1">
      <alignment vertical="center"/>
    </xf>
    <xf numFmtId="177" fontId="27" fillId="0" borderId="17" xfId="0" applyNumberFormat="1" applyFont="1" applyBorder="1" applyAlignment="1" applyProtection="1">
      <alignment vertical="center"/>
    </xf>
    <xf numFmtId="177" fontId="27" fillId="0" borderId="30" xfId="0" applyNumberFormat="1" applyFont="1" applyBorder="1" applyAlignment="1" applyProtection="1">
      <alignment vertical="center"/>
    </xf>
    <xf numFmtId="177" fontId="27" fillId="0" borderId="31" xfId="0" applyNumberFormat="1" applyFont="1" applyBorder="1" applyAlignment="1" applyProtection="1">
      <alignment vertical="center"/>
    </xf>
    <xf numFmtId="177" fontId="27" fillId="0" borderId="32" xfId="0" applyNumberFormat="1" applyFont="1" applyFill="1" applyBorder="1" applyAlignment="1" applyProtection="1">
      <alignment vertical="center"/>
    </xf>
    <xf numFmtId="179" fontId="27" fillId="25" borderId="18" xfId="0" applyNumberFormat="1" applyFont="1" applyFill="1" applyBorder="1" applyAlignment="1" applyProtection="1">
      <alignment vertical="center"/>
      <protection locked="0"/>
    </xf>
    <xf numFmtId="177" fontId="27" fillId="0" borderId="0" xfId="0" applyNumberFormat="1" applyFont="1" applyBorder="1" applyAlignment="1" applyProtection="1">
      <alignment vertical="center"/>
    </xf>
    <xf numFmtId="177" fontId="27" fillId="0" borderId="33" xfId="0" applyNumberFormat="1" applyFont="1" applyBorder="1" applyAlignment="1" applyProtection="1">
      <alignment vertical="center"/>
    </xf>
    <xf numFmtId="177" fontId="27" fillId="0" borderId="34" xfId="0" applyNumberFormat="1" applyFont="1" applyBorder="1" applyAlignment="1" applyProtection="1">
      <alignment vertical="center"/>
    </xf>
    <xf numFmtId="0" fontId="0" fillId="0" borderId="54" xfId="0" applyBorder="1" applyAlignment="1">
      <alignment horizontal="center" vertical="center"/>
    </xf>
    <xf numFmtId="0" fontId="22" fillId="0" borderId="36" xfId="0" applyNumberFormat="1" applyFont="1" applyBorder="1" applyAlignment="1" applyProtection="1">
      <alignment horizontal="center" vertical="center"/>
    </xf>
    <xf numFmtId="0" fontId="21" fillId="0" borderId="0" xfId="0" applyFont="1" applyBorder="1" applyAlignment="1" applyProtection="1">
      <alignment horizontal="center" vertical="center"/>
    </xf>
    <xf numFmtId="0" fontId="21" fillId="25" borderId="0" xfId="0" applyFont="1" applyFill="1" applyBorder="1" applyAlignment="1" applyProtection="1">
      <alignment horizontal="left" vertical="center" shrinkToFit="1"/>
      <protection locked="0"/>
    </xf>
    <xf numFmtId="0" fontId="21" fillId="25" borderId="0" xfId="0" applyFont="1" applyFill="1" applyAlignment="1" applyProtection="1">
      <alignment horizontal="left" vertical="center" shrinkToFit="1"/>
      <protection locked="0"/>
    </xf>
    <xf numFmtId="0" fontId="21" fillId="0" borderId="0" xfId="0" applyFont="1" applyFill="1" applyAlignment="1" applyProtection="1">
      <alignment horizontal="left" vertical="center" shrinkToFit="1"/>
      <protection locked="0"/>
    </xf>
    <xf numFmtId="0" fontId="27" fillId="26" borderId="17" xfId="0" applyFont="1" applyFill="1" applyBorder="1" applyAlignment="1" applyProtection="1">
      <alignment horizontal="center" vertical="center"/>
      <protection locked="0"/>
    </xf>
    <xf numFmtId="0" fontId="22" fillId="26" borderId="17" xfId="0" applyFont="1" applyFill="1" applyBorder="1" applyAlignment="1" applyProtection="1">
      <alignment horizontal="center" vertical="center" shrinkToFit="1"/>
      <protection locked="0"/>
    </xf>
    <xf numFmtId="0" fontId="22" fillId="0" borderId="55" xfId="0" applyNumberFormat="1" applyFont="1" applyBorder="1" applyAlignment="1" applyProtection="1">
      <alignment horizontal="center" vertical="center"/>
    </xf>
    <xf numFmtId="0" fontId="28" fillId="0" borderId="0" xfId="0" applyFont="1" applyAlignment="1" applyProtection="1">
      <alignment horizontal="left" vertical="center"/>
    </xf>
    <xf numFmtId="0" fontId="0" fillId="0" borderId="56" xfId="0" applyBorder="1" applyAlignment="1">
      <alignment horizontal="center" vertical="center"/>
    </xf>
    <xf numFmtId="177" fontId="27" fillId="29" borderId="16" xfId="0" applyNumberFormat="1" applyFont="1" applyFill="1" applyBorder="1" applyAlignment="1" applyProtection="1">
      <alignment horizontal="right" vertical="center"/>
      <protection locked="0"/>
    </xf>
    <xf numFmtId="177" fontId="27" fillId="0" borderId="14" xfId="0" applyNumberFormat="1" applyFont="1" applyBorder="1" applyAlignment="1" applyProtection="1">
      <alignment vertical="center"/>
    </xf>
    <xf numFmtId="177" fontId="27" fillId="0" borderId="45" xfId="0" applyNumberFormat="1" applyFont="1" applyBorder="1" applyAlignment="1" applyProtection="1">
      <alignment vertical="center"/>
    </xf>
    <xf numFmtId="177" fontId="27" fillId="0" borderId="47" xfId="0" applyNumberFormat="1" applyFont="1" applyBorder="1" applyAlignment="1" applyProtection="1">
      <alignment vertical="center"/>
    </xf>
    <xf numFmtId="177" fontId="27" fillId="0" borderId="46" xfId="0" applyNumberFormat="1" applyFont="1" applyFill="1" applyBorder="1" applyAlignment="1" applyProtection="1">
      <alignment vertical="center"/>
    </xf>
    <xf numFmtId="177" fontId="27" fillId="0" borderId="48" xfId="0" applyNumberFormat="1" applyFont="1" applyBorder="1" applyAlignment="1" applyProtection="1">
      <alignment vertical="center"/>
    </xf>
    <xf numFmtId="177" fontId="27" fillId="0" borderId="49" xfId="0" applyNumberFormat="1" applyFont="1" applyFill="1" applyBorder="1" applyAlignment="1" applyProtection="1">
      <alignment vertical="center"/>
    </xf>
    <xf numFmtId="177" fontId="27" fillId="0" borderId="50" xfId="0" applyNumberFormat="1" applyFont="1" applyBorder="1" applyAlignment="1" applyProtection="1">
      <alignment vertical="center"/>
    </xf>
    <xf numFmtId="177" fontId="27" fillId="0" borderId="57" xfId="44" applyNumberFormat="1" applyFont="1" applyBorder="1" applyAlignment="1" applyProtection="1">
      <alignment vertical="center"/>
    </xf>
    <xf numFmtId="177" fontId="27" fillId="29" borderId="21" xfId="0" applyNumberFormat="1" applyFont="1" applyFill="1" applyBorder="1" applyAlignment="1" applyProtection="1">
      <alignment horizontal="right" vertical="center"/>
      <protection locked="0"/>
    </xf>
    <xf numFmtId="180" fontId="21" fillId="0" borderId="0" xfId="0" applyNumberFormat="1" applyFont="1" applyAlignment="1" applyProtection="1">
      <alignment horizontal="center" vertical="center"/>
    </xf>
    <xf numFmtId="177" fontId="27" fillId="0" borderId="15" xfId="44" applyNumberFormat="1" applyFont="1" applyBorder="1" applyAlignment="1" applyProtection="1">
      <alignment vertical="center"/>
    </xf>
    <xf numFmtId="0" fontId="26" fillId="0" borderId="24" xfId="0" applyFont="1" applyBorder="1" applyAlignment="1" applyProtection="1">
      <alignment vertical="center" shrinkToFit="1"/>
    </xf>
    <xf numFmtId="0" fontId="26" fillId="0" borderId="22" xfId="0" applyFont="1" applyBorder="1" applyAlignment="1">
      <alignment vertical="center" wrapText="1" shrinkToFit="1"/>
    </xf>
    <xf numFmtId="176" fontId="27" fillId="25" borderId="22" xfId="0" applyNumberFormat="1" applyFont="1" applyFill="1" applyBorder="1" applyAlignment="1" applyProtection="1">
      <alignment vertical="center"/>
      <protection locked="0"/>
    </xf>
    <xf numFmtId="0" fontId="22" fillId="26" borderId="22" xfId="0" applyFont="1" applyFill="1" applyBorder="1" applyAlignment="1" applyProtection="1">
      <alignment horizontal="center" vertical="center" shrinkToFit="1"/>
      <protection locked="0"/>
    </xf>
    <xf numFmtId="0" fontId="27" fillId="26" borderId="22" xfId="0" applyFont="1" applyFill="1" applyBorder="1" applyAlignment="1" applyProtection="1">
      <alignment horizontal="center" vertical="center"/>
      <protection locked="0"/>
    </xf>
    <xf numFmtId="0" fontId="26" fillId="26" borderId="23" xfId="0" applyFont="1" applyFill="1" applyBorder="1" applyAlignment="1" applyProtection="1">
      <alignment vertical="center"/>
      <protection locked="0"/>
    </xf>
    <xf numFmtId="0" fontId="22" fillId="26" borderId="24" xfId="0" applyFont="1" applyFill="1" applyBorder="1" applyAlignment="1" applyProtection="1">
      <alignment vertical="center"/>
      <protection locked="0"/>
    </xf>
    <xf numFmtId="0" fontId="21" fillId="0" borderId="0" xfId="0" applyFont="1" applyBorder="1" applyAlignment="1" applyProtection="1">
      <alignment vertical="center" shrinkToFit="1"/>
    </xf>
    <xf numFmtId="0" fontId="21" fillId="0" borderId="0" xfId="0" applyFont="1" applyAlignment="1" applyProtection="1">
      <alignment vertical="center" shrinkToFit="1"/>
    </xf>
    <xf numFmtId="0" fontId="31" fillId="0" borderId="0" xfId="0" applyFont="1" applyAlignment="1" applyProtection="1">
      <alignment vertical="center"/>
    </xf>
    <xf numFmtId="0" fontId="32" fillId="0" borderId="0" xfId="0" applyFont="1" applyAlignment="1" applyProtection="1">
      <alignment vertical="center"/>
    </xf>
    <xf numFmtId="0" fontId="33" fillId="0" borderId="0" xfId="0" applyFont="1" applyAlignment="1" applyProtection="1">
      <alignment vertical="center"/>
    </xf>
    <xf numFmtId="0" fontId="34" fillId="0" borderId="0" xfId="0" applyFont="1" applyFill="1" applyAlignment="1" applyProtection="1">
      <alignment shrinkToFit="1"/>
    </xf>
    <xf numFmtId="0" fontId="34" fillId="25" borderId="0" xfId="0" applyFont="1" applyFill="1" applyAlignment="1" applyProtection="1">
      <alignment shrinkToFit="1"/>
    </xf>
    <xf numFmtId="0" fontId="34" fillId="0" borderId="0" xfId="0" applyFont="1" applyFill="1" applyAlignment="1" applyProtection="1">
      <alignment wrapText="1" shrinkToFit="1"/>
    </xf>
    <xf numFmtId="0" fontId="34" fillId="0" borderId="0" xfId="0" applyFont="1" applyFill="1" applyAlignment="1" applyProtection="1">
      <alignment horizontal="center" vertical="center" shrinkToFit="1"/>
    </xf>
    <xf numFmtId="0" fontId="34" fillId="0" borderId="0" xfId="0" applyFont="1" applyFill="1" applyBorder="1" applyAlignment="1" applyProtection="1">
      <alignment shrinkToFit="1"/>
    </xf>
    <xf numFmtId="0" fontId="34" fillId="0" borderId="0" xfId="0" applyFont="1" applyAlignment="1">
      <alignment shrinkToFit="1"/>
    </xf>
    <xf numFmtId="0" fontId="35" fillId="0" borderId="0" xfId="0" applyFont="1" applyFill="1" applyAlignment="1" applyProtection="1">
      <alignment vertical="center"/>
    </xf>
    <xf numFmtId="0" fontId="34" fillId="0" borderId="0" xfId="0" applyFont="1" applyFill="1" applyAlignment="1">
      <alignment horizontal="center" vertical="center" shrinkToFit="1"/>
    </xf>
    <xf numFmtId="0" fontId="34" fillId="0" borderId="19"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4" fillId="0" borderId="14" xfId="0" quotePrefix="1" applyFont="1" applyFill="1" applyBorder="1" applyAlignment="1" applyProtection="1">
      <alignment vertical="center" shrinkToFit="1"/>
    </xf>
    <xf numFmtId="0" fontId="34" fillId="0" borderId="14" xfId="0" applyFont="1" applyFill="1" applyBorder="1" applyAlignment="1">
      <alignment vertical="center" wrapText="1" shrinkToFit="1"/>
    </xf>
    <xf numFmtId="0" fontId="34" fillId="0" borderId="14" xfId="0" applyFont="1" applyFill="1" applyBorder="1" applyAlignment="1">
      <alignment vertical="center" shrinkToFit="1"/>
    </xf>
    <xf numFmtId="0" fontId="34" fillId="0" borderId="0" xfId="0" applyFont="1" applyFill="1" applyAlignment="1" applyProtection="1">
      <alignment vertical="center" shrinkToFit="1"/>
    </xf>
    <xf numFmtId="176" fontId="34" fillId="0" borderId="14" xfId="0" applyNumberFormat="1" applyFont="1" applyFill="1" applyBorder="1" applyAlignment="1">
      <alignment horizontal="left" vertical="center" wrapText="1" shrinkToFit="1"/>
    </xf>
    <xf numFmtId="176" fontId="34" fillId="0" borderId="14" xfId="0" applyNumberFormat="1" applyFont="1" applyFill="1" applyBorder="1" applyAlignment="1">
      <alignment horizontal="left" vertical="center" shrinkToFit="1"/>
    </xf>
    <xf numFmtId="176" fontId="34" fillId="0" borderId="43" xfId="0" applyNumberFormat="1" applyFont="1" applyFill="1" applyBorder="1" applyAlignment="1">
      <alignment horizontal="left" vertical="center" shrinkToFit="1"/>
    </xf>
    <xf numFmtId="176" fontId="36" fillId="0" borderId="14" xfId="0" applyNumberFormat="1" applyFont="1" applyBorder="1" applyAlignment="1">
      <alignment horizontal="left" vertical="center" wrapText="1" shrinkToFit="1"/>
    </xf>
    <xf numFmtId="176" fontId="34" fillId="0" borderId="14" xfId="0" applyNumberFormat="1" applyFont="1" applyFill="1" applyBorder="1" applyAlignment="1">
      <alignment vertical="center" shrinkToFit="1"/>
    </xf>
    <xf numFmtId="176" fontId="36" fillId="0" borderId="14" xfId="0" applyNumberFormat="1" applyFont="1" applyBorder="1" applyAlignment="1">
      <alignment horizontal="left" vertical="center" shrinkToFit="1"/>
    </xf>
    <xf numFmtId="0" fontId="34" fillId="0" borderId="14" xfId="34" applyFont="1" applyFill="1" applyBorder="1" applyAlignment="1">
      <alignment horizontal="left" vertical="center" shrinkToFit="1"/>
    </xf>
    <xf numFmtId="0" fontId="35" fillId="0" borderId="0" xfId="0" applyFont="1" applyFill="1" applyAlignment="1" applyProtection="1">
      <alignment horizontal="center" shrinkToFit="1"/>
    </xf>
    <xf numFmtId="0" fontId="34" fillId="0" borderId="14" xfId="34" applyFont="1" applyFill="1" applyBorder="1" applyAlignment="1">
      <alignment horizontal="center" vertical="center" shrinkToFit="1"/>
    </xf>
    <xf numFmtId="0" fontId="34" fillId="0" borderId="43" xfId="34" applyFont="1" applyFill="1" applyBorder="1" applyAlignment="1">
      <alignment horizontal="center" vertical="center" shrinkToFit="1"/>
    </xf>
    <xf numFmtId="176" fontId="34" fillId="0" borderId="14" xfId="0" applyNumberFormat="1" applyFont="1" applyFill="1" applyBorder="1" applyAlignment="1">
      <alignment horizontal="center" vertical="center" wrapText="1" shrinkToFit="1"/>
    </xf>
    <xf numFmtId="176" fontId="34" fillId="0" borderId="14"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176" fontId="36" fillId="0" borderId="14" xfId="0" applyNumberFormat="1" applyFont="1" applyBorder="1" applyAlignment="1">
      <alignment horizontal="center" vertical="center" shrinkToFit="1"/>
    </xf>
    <xf numFmtId="181" fontId="34" fillId="0" borderId="14" xfId="34" applyNumberFormat="1" applyFont="1" applyFill="1" applyBorder="1" applyAlignment="1">
      <alignment vertical="center" shrinkToFit="1"/>
    </xf>
    <xf numFmtId="181" fontId="34" fillId="0" borderId="43" xfId="34" applyNumberFormat="1" applyFont="1" applyFill="1" applyBorder="1" applyAlignment="1">
      <alignment vertical="center" shrinkToFit="1"/>
    </xf>
    <xf numFmtId="181" fontId="34" fillId="0" borderId="14" xfId="34" applyNumberFormat="1" applyFont="1" applyFill="1" applyBorder="1" applyAlignment="1">
      <alignment horizontal="left" vertical="center" shrinkToFit="1"/>
    </xf>
    <xf numFmtId="0" fontId="35" fillId="0" borderId="0" xfId="0" applyFont="1" applyFill="1" applyBorder="1" applyAlignment="1">
      <alignment horizontal="left" shrinkToFit="1"/>
    </xf>
    <xf numFmtId="0" fontId="35" fillId="0" borderId="0" xfId="0" applyFont="1" applyFill="1" applyBorder="1" applyAlignment="1">
      <alignment horizontal="left" vertical="center" shrinkToFit="1"/>
    </xf>
    <xf numFmtId="0" fontId="35" fillId="0" borderId="19" xfId="0" applyFont="1" applyFill="1" applyBorder="1" applyAlignment="1">
      <alignment horizontal="left" vertical="center" shrinkToFit="1"/>
    </xf>
    <xf numFmtId="176" fontId="36" fillId="0" borderId="14" xfId="0" applyNumberFormat="1" applyFont="1" applyBorder="1" applyAlignment="1">
      <alignment horizontal="center" vertical="center" wrapText="1" shrinkToFit="1"/>
    </xf>
    <xf numFmtId="0" fontId="34" fillId="0" borderId="14" xfId="0" applyFont="1" applyFill="1" applyBorder="1" applyAlignment="1" applyProtection="1">
      <alignment horizontal="center" vertical="center" wrapText="1" shrinkToFit="1"/>
    </xf>
    <xf numFmtId="0" fontId="34" fillId="0" borderId="14" xfId="0" applyFont="1" applyFill="1" applyBorder="1" applyAlignment="1" applyProtection="1">
      <alignment vertical="center" shrinkToFit="1"/>
    </xf>
    <xf numFmtId="0" fontId="34" fillId="0" borderId="14" xfId="0" applyFont="1" applyFill="1" applyBorder="1" applyAlignment="1" applyProtection="1">
      <alignment shrinkToFit="1"/>
    </xf>
    <xf numFmtId="0" fontId="34" fillId="0" borderId="14" xfId="0" applyFont="1" applyFill="1" applyBorder="1" applyAlignment="1">
      <alignment shrinkToFit="1"/>
    </xf>
    <xf numFmtId="3" fontId="34" fillId="0" borderId="14" xfId="0" applyNumberFormat="1" applyFont="1" applyFill="1" applyBorder="1" applyAlignment="1">
      <alignment vertical="center" shrinkToFit="1"/>
    </xf>
    <xf numFmtId="3" fontId="34" fillId="0" borderId="14" xfId="0" applyNumberFormat="1" applyFont="1" applyFill="1" applyBorder="1" applyAlignment="1" applyProtection="1">
      <alignment vertical="center" shrinkToFit="1"/>
    </xf>
    <xf numFmtId="3" fontId="36" fillId="0" borderId="14" xfId="0" applyNumberFormat="1" applyFont="1" applyBorder="1" applyAlignment="1">
      <alignment vertical="center" shrinkToFit="1"/>
    </xf>
    <xf numFmtId="3" fontId="37" fillId="0" borderId="14" xfId="0" applyNumberFormat="1" applyFont="1" applyBorder="1" applyAlignment="1">
      <alignment vertical="center" shrinkToFit="1"/>
    </xf>
    <xf numFmtId="0" fontId="35" fillId="0" borderId="0" xfId="0" applyFont="1" applyFill="1" applyAlignment="1" applyProtection="1">
      <alignment vertical="center" shrinkToFit="1"/>
    </xf>
    <xf numFmtId="0" fontId="34" fillId="30" borderId="10" xfId="0" applyFont="1" applyFill="1" applyBorder="1" applyAlignment="1" applyProtection="1">
      <alignment horizontal="center" vertical="center" wrapText="1" shrinkToFit="1"/>
    </xf>
    <xf numFmtId="0" fontId="34" fillId="30" borderId="14" xfId="0" applyFont="1" applyFill="1" applyBorder="1" applyAlignment="1" applyProtection="1">
      <alignment horizontal="center" vertical="center" shrinkToFit="1"/>
    </xf>
    <xf numFmtId="3" fontId="34" fillId="30" borderId="14" xfId="0" applyNumberFormat="1" applyFont="1" applyFill="1" applyBorder="1" applyAlignment="1" applyProtection="1">
      <alignment vertical="center" shrinkToFit="1"/>
    </xf>
    <xf numFmtId="3" fontId="34" fillId="30" borderId="14" xfId="0" applyNumberFormat="1" applyFont="1" applyFill="1" applyBorder="1" applyAlignment="1">
      <alignment vertical="center" shrinkToFit="1"/>
    </xf>
    <xf numFmtId="3" fontId="36" fillId="30" borderId="14" xfId="0" applyNumberFormat="1" applyFont="1" applyFill="1" applyBorder="1" applyAlignment="1">
      <alignment vertical="center" shrinkToFit="1"/>
    </xf>
    <xf numFmtId="3" fontId="37" fillId="30" borderId="14" xfId="0" applyNumberFormat="1" applyFont="1" applyFill="1" applyBorder="1" applyAlignment="1">
      <alignment vertical="center" shrinkToFit="1"/>
    </xf>
    <xf numFmtId="0" fontId="34" fillId="30" borderId="17" xfId="0" applyFont="1" applyFill="1" applyBorder="1" applyAlignment="1" applyProtection="1">
      <alignment horizontal="center" vertical="center" wrapText="1" shrinkToFit="1"/>
    </xf>
    <xf numFmtId="0" fontId="34" fillId="30" borderId="22" xfId="0" applyFont="1" applyFill="1" applyBorder="1" applyAlignment="1" applyProtection="1">
      <alignment horizontal="center" vertical="center" wrapText="1" shrinkToFit="1"/>
    </xf>
    <xf numFmtId="3" fontId="38" fillId="0" borderId="14" xfId="0" applyNumberFormat="1" applyFont="1" applyBorder="1" applyAlignment="1">
      <alignment vertical="center" shrinkToFit="1"/>
    </xf>
    <xf numFmtId="0" fontId="34" fillId="0" borderId="23" xfId="0" applyFont="1" applyFill="1" applyBorder="1" applyAlignment="1" applyProtection="1">
      <alignment horizontal="center" vertical="center" wrapText="1" shrinkToFit="1"/>
    </xf>
    <xf numFmtId="0" fontId="34" fillId="0" borderId="24" xfId="0" applyFont="1" applyFill="1" applyBorder="1" applyAlignment="1" applyProtection="1">
      <alignment horizontal="center" vertical="center" wrapText="1" shrinkToFit="1"/>
    </xf>
    <xf numFmtId="0" fontId="34" fillId="0" borderId="11" xfId="0" applyFont="1" applyFill="1" applyBorder="1" applyAlignment="1" applyProtection="1">
      <alignment horizontal="center" vertical="center" wrapText="1" shrinkToFit="1"/>
    </xf>
    <xf numFmtId="0" fontId="34" fillId="0" borderId="19" xfId="0" applyFont="1" applyFill="1" applyBorder="1" applyAlignment="1" applyProtection="1">
      <alignment horizontal="left" vertical="center"/>
    </xf>
    <xf numFmtId="0" fontId="34" fillId="0" borderId="12" xfId="0" applyFont="1" applyFill="1" applyBorder="1" applyAlignment="1" applyProtection="1">
      <alignment horizontal="center" vertical="center" shrinkToFit="1"/>
    </xf>
    <xf numFmtId="0" fontId="38" fillId="0" borderId="14" xfId="0" applyFont="1" applyBorder="1" applyAlignment="1">
      <alignment horizontal="center" vertical="center" shrinkToFit="1"/>
    </xf>
    <xf numFmtId="3" fontId="34" fillId="0" borderId="14" xfId="0" applyNumberFormat="1" applyFont="1" applyFill="1" applyBorder="1" applyAlignment="1">
      <alignment vertical="center" wrapText="1"/>
    </xf>
    <xf numFmtId="0" fontId="34" fillId="0" borderId="18"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18" xfId="0" applyFont="1" applyFill="1" applyBorder="1" applyAlignment="1" applyProtection="1">
      <alignment horizontal="center" vertical="center" wrapText="1" shrinkToFit="1"/>
    </xf>
    <xf numFmtId="0" fontId="38" fillId="0" borderId="14" xfId="0" applyFont="1" applyBorder="1" applyAlignment="1">
      <alignment vertical="center" shrinkToFit="1"/>
    </xf>
    <xf numFmtId="0" fontId="38" fillId="0" borderId="14" xfId="0" applyFont="1" applyBorder="1" applyAlignment="1">
      <alignment shrinkToFit="1"/>
    </xf>
    <xf numFmtId="0" fontId="34" fillId="0" borderId="0" xfId="0" applyFont="1" applyFill="1" applyAlignment="1" applyProtection="1">
      <alignment vertical="center" wrapText="1" shrinkToFit="1"/>
    </xf>
    <xf numFmtId="38" fontId="34" fillId="0" borderId="14" xfId="44" applyFont="1" applyFill="1" applyBorder="1" applyAlignment="1" applyProtection="1">
      <alignment vertical="center" wrapText="1" shrinkToFit="1"/>
    </xf>
    <xf numFmtId="0" fontId="34" fillId="0" borderId="46" xfId="34" applyFont="1" applyFill="1" applyBorder="1" applyAlignment="1">
      <alignment vertical="center" wrapText="1"/>
    </xf>
    <xf numFmtId="0" fontId="38" fillId="0" borderId="14" xfId="0" applyFont="1" applyBorder="1" applyAlignment="1">
      <alignment vertical="center" wrapText="1" shrinkToFit="1"/>
    </xf>
    <xf numFmtId="0" fontId="34" fillId="0" borderId="46" xfId="34" applyFont="1" applyFill="1" applyBorder="1" applyAlignment="1">
      <alignment vertical="center" wrapText="1" shrinkToFit="1"/>
    </xf>
    <xf numFmtId="0" fontId="34" fillId="0" borderId="14" xfId="0" applyFont="1" applyFill="1" applyBorder="1" applyAlignment="1" applyProtection="1">
      <alignment vertical="center" wrapText="1" shrinkToFit="1"/>
    </xf>
    <xf numFmtId="0" fontId="34" fillId="0" borderId="14" xfId="0" applyFont="1" applyFill="1" applyBorder="1" applyAlignment="1">
      <alignment vertical="top" wrapText="1"/>
    </xf>
    <xf numFmtId="0" fontId="34" fillId="0" borderId="0" xfId="0" applyFont="1" applyFill="1" applyBorder="1" applyAlignment="1" applyProtection="1">
      <alignment horizontal="center" vertical="center" shrinkToFit="1"/>
    </xf>
    <xf numFmtId="0" fontId="34" fillId="0" borderId="43" xfId="34" applyFont="1" applyFill="1" applyBorder="1" applyAlignment="1">
      <alignment vertical="center" shrinkToFit="1"/>
    </xf>
    <xf numFmtId="176" fontId="36" fillId="0" borderId="43" xfId="0" applyNumberFormat="1" applyFont="1" applyBorder="1" applyAlignment="1">
      <alignment horizontal="left" vertical="center" shrinkToFit="1"/>
    </xf>
    <xf numFmtId="176" fontId="34" fillId="30" borderId="14" xfId="0" applyNumberFormat="1" applyFont="1" applyFill="1" applyBorder="1" applyAlignment="1">
      <alignment horizontal="left" vertical="center" shrinkToFit="1"/>
    </xf>
    <xf numFmtId="176" fontId="36" fillId="0" borderId="14" xfId="0" applyNumberFormat="1" applyFont="1" applyBorder="1" applyAlignment="1">
      <alignment vertical="center" shrinkToFit="1"/>
    </xf>
    <xf numFmtId="0" fontId="36" fillId="0" borderId="14" xfId="34" applyFont="1" applyBorder="1" applyAlignment="1">
      <alignment horizontal="left" vertical="center" shrinkToFit="1"/>
    </xf>
    <xf numFmtId="0" fontId="39" fillId="0" borderId="14" xfId="0" applyFont="1" applyBorder="1" applyAlignment="1" applyProtection="1">
      <alignment vertical="center" shrinkToFit="1"/>
    </xf>
    <xf numFmtId="176" fontId="39" fillId="0" borderId="14" xfId="0" applyNumberFormat="1" applyFont="1" applyBorder="1" applyAlignment="1" applyProtection="1">
      <alignment horizontal="left" vertical="center" wrapText="1" shrinkToFit="1"/>
    </xf>
    <xf numFmtId="176" fontId="39" fillId="0" borderId="14" xfId="0" applyNumberFormat="1" applyFont="1" applyBorder="1" applyAlignment="1" applyProtection="1">
      <alignment horizontal="left" vertical="center" shrinkToFit="1"/>
    </xf>
    <xf numFmtId="176" fontId="39" fillId="0" borderId="14" xfId="0" applyNumberFormat="1" applyFont="1" applyBorder="1" applyAlignment="1">
      <alignment horizontal="left" vertical="center" shrinkToFit="1"/>
    </xf>
    <xf numFmtId="176" fontId="39" fillId="0" borderId="14" xfId="0" applyNumberFormat="1" applyFont="1" applyBorder="1" applyAlignment="1">
      <alignment vertical="center" shrinkToFit="1"/>
    </xf>
    <xf numFmtId="49" fontId="40" fillId="0" borderId="14" xfId="28" applyNumberFormat="1" applyFont="1" applyBorder="1" applyAlignment="1" applyProtection="1">
      <alignment horizontal="left" vertical="center" shrinkToFit="1"/>
    </xf>
    <xf numFmtId="0" fontId="39" fillId="0" borderId="14" xfId="0" applyFont="1" applyFill="1" applyBorder="1" applyAlignment="1">
      <alignment vertical="center"/>
    </xf>
    <xf numFmtId="176" fontId="39" fillId="0" borderId="14" xfId="0" applyNumberFormat="1" applyFont="1" applyBorder="1" applyAlignment="1" applyProtection="1">
      <alignment vertical="center" shrinkToFit="1"/>
    </xf>
    <xf numFmtId="176" fontId="40" fillId="0" borderId="14" xfId="28" applyNumberFormat="1" applyFont="1" applyFill="1" applyBorder="1" applyAlignment="1" applyProtection="1">
      <alignment horizontal="left" vertical="center" shrinkToFit="1"/>
    </xf>
    <xf numFmtId="0" fontId="41" fillId="0" borderId="0" xfId="0" applyFont="1" applyAlignment="1">
      <alignment vertical="center"/>
    </xf>
    <xf numFmtId="176" fontId="40" fillId="0" borderId="14" xfId="28" applyNumberFormat="1" applyFont="1" applyFill="1" applyBorder="1" applyAlignment="1">
      <alignment horizontal="left" vertical="center" shrinkToFit="1"/>
    </xf>
    <xf numFmtId="0" fontId="34" fillId="0" borderId="43" xfId="0" applyFont="1" applyFill="1" applyBorder="1" applyAlignment="1" applyProtection="1">
      <alignment horizontal="center" vertical="center" shrinkToFit="1"/>
    </xf>
    <xf numFmtId="0" fontId="34" fillId="0" borderId="44" xfId="0" applyFont="1" applyFill="1" applyBorder="1" applyAlignment="1" applyProtection="1">
      <alignment horizontal="center" vertical="center" shrinkToFit="1"/>
    </xf>
    <xf numFmtId="176" fontId="42" fillId="0" borderId="14" xfId="0" applyNumberFormat="1" applyFont="1" applyFill="1" applyBorder="1" applyAlignment="1">
      <alignment horizontal="center" vertical="center" wrapText="1" shrinkToFit="1"/>
    </xf>
    <xf numFmtId="0" fontId="36" fillId="0" borderId="14" xfId="34" applyFont="1" applyBorder="1" applyAlignment="1">
      <alignment horizontal="center" vertical="center" shrinkToFit="1"/>
    </xf>
    <xf numFmtId="0" fontId="34" fillId="0" borderId="0" xfId="0" applyFont="1" applyAlignment="1">
      <alignment wrapText="1"/>
    </xf>
    <xf numFmtId="0" fontId="39" fillId="0" borderId="13" xfId="0" applyFont="1" applyFill="1" applyBorder="1" applyAlignment="1">
      <alignment horizontal="left" vertical="top" wrapText="1"/>
    </xf>
    <xf numFmtId="0" fontId="39" fillId="0" borderId="0" xfId="0" applyFont="1" applyFill="1" applyBorder="1" applyAlignment="1">
      <alignment horizontal="left" vertical="top" wrapTex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 xfId="28"/>
    <cellStyle name="メモ" xfId="29"/>
    <cellStyle name="リンク セル" xfId="30"/>
    <cellStyle name="入力" xfId="31"/>
    <cellStyle name="出力" xfId="32"/>
    <cellStyle name="悪い" xfId="33"/>
    <cellStyle name="標準" xfId="0" builtinId="0"/>
    <cellStyle name="標準 2"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s>
  <dxfs count="36">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s>
  <tableStyles count="0" defaultTableStyle="TableStyleMedium2" defaultPivotStyle="PivotStyleLight16"/>
  <colors>
    <mruColors>
      <color rgb="FFCCFFCC"/>
      <color rgb="FFFD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152400</xdr:colOff>
      <xdr:row>12</xdr:row>
      <xdr:rowOff>38100</xdr:rowOff>
    </xdr:from>
    <xdr:to xmlns:xdr="http://schemas.openxmlformats.org/drawingml/2006/spreadsheetDrawing">
      <xdr:col>28</xdr:col>
      <xdr:colOff>32385</xdr:colOff>
      <xdr:row>12</xdr:row>
      <xdr:rowOff>38100</xdr:rowOff>
    </xdr:to>
    <xdr:sp macro="" textlink="">
      <xdr:nvSpPr>
        <xdr:cNvPr id="15388" name="Line 1"/>
        <xdr:cNvSpPr>
          <a:spLocks noChangeShapeType="1"/>
        </xdr:cNvSpPr>
      </xdr:nvSpPr>
      <xdr:spPr>
        <a:xfrm>
          <a:off x="1913890" y="2757170"/>
          <a:ext cx="394398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39</xdr:col>
      <xdr:colOff>0</xdr:colOff>
      <xdr:row>13</xdr:row>
      <xdr:rowOff>0</xdr:rowOff>
    </xdr:from>
    <xdr:to xmlns:xdr="http://schemas.openxmlformats.org/drawingml/2006/spreadsheetDrawing">
      <xdr:col>39</xdr:col>
      <xdr:colOff>0</xdr:colOff>
      <xdr:row>13</xdr:row>
      <xdr:rowOff>0</xdr:rowOff>
    </xdr:to>
    <xdr:sp macro="" textlink="">
      <xdr:nvSpPr>
        <xdr:cNvPr id="15389" name="Line 2"/>
        <xdr:cNvSpPr>
          <a:spLocks noChangeShapeType="1"/>
        </xdr:cNvSpPr>
      </xdr:nvSpPr>
      <xdr:spPr>
        <a:xfrm>
          <a:off x="7955280" y="2845435"/>
          <a:ext cx="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21590</xdr:colOff>
      <xdr:row>43</xdr:row>
      <xdr:rowOff>38100</xdr:rowOff>
    </xdr:from>
    <xdr:to xmlns:xdr="http://schemas.openxmlformats.org/drawingml/2006/spreadsheetDrawing">
      <xdr:col>22</xdr:col>
      <xdr:colOff>54610</xdr:colOff>
      <xdr:row>44</xdr:row>
      <xdr:rowOff>0</xdr:rowOff>
    </xdr:to>
    <xdr:sp macro="" textlink="">
      <xdr:nvSpPr>
        <xdr:cNvPr id="15390" name="テキスト ボックス 1"/>
        <xdr:cNvSpPr txBox="1">
          <a:spLocks noChangeArrowheads="1"/>
        </xdr:cNvSpPr>
      </xdr:nvSpPr>
      <xdr:spPr>
        <a:xfrm>
          <a:off x="3912870" y="8617585"/>
          <a:ext cx="815340" cy="152400"/>
        </a:xfrm>
        <a:prstGeom prst="rect">
          <a:avLst/>
        </a:prstGeom>
        <a:solidFill>
          <a:srgbClr val="FFFFFF">
            <a:alpha val="0"/>
          </a:srgbClr>
        </a:solidFill>
        <a:ln>
          <a:miter/>
        </a:ln>
      </xdr:spPr>
      <xdr:txBody>
        <a:bodyPr vertOverflow="clip" horzOverflow="overflow" wrap="square" lIns="20637" tIns="4762" rIns="4762" bIns="4762"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（単価入力）</a:t>
          </a:r>
          <a:endPar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fPrintsWithSheet="0"/>
  </xdr:twoCellAnchor>
  <xdr:twoCellAnchor>
    <xdr:from xmlns:xdr="http://schemas.openxmlformats.org/drawingml/2006/spreadsheetDrawing">
      <xdr:col>18</xdr:col>
      <xdr:colOff>21590</xdr:colOff>
      <xdr:row>46</xdr:row>
      <xdr:rowOff>38100</xdr:rowOff>
    </xdr:from>
    <xdr:to xmlns:xdr="http://schemas.openxmlformats.org/drawingml/2006/spreadsheetDrawing">
      <xdr:col>22</xdr:col>
      <xdr:colOff>54610</xdr:colOff>
      <xdr:row>47</xdr:row>
      <xdr:rowOff>0</xdr:rowOff>
    </xdr:to>
    <xdr:sp macro="" textlink="">
      <xdr:nvSpPr>
        <xdr:cNvPr id="15391" name="テキスト ボックス 4"/>
        <xdr:cNvSpPr txBox="1">
          <a:spLocks noChangeArrowheads="1"/>
        </xdr:cNvSpPr>
      </xdr:nvSpPr>
      <xdr:spPr>
        <a:xfrm>
          <a:off x="3912870" y="9189085"/>
          <a:ext cx="815340" cy="152400"/>
        </a:xfrm>
        <a:prstGeom prst="rect">
          <a:avLst/>
        </a:prstGeom>
        <a:solidFill>
          <a:srgbClr val="FFFFFF">
            <a:alpha val="0"/>
          </a:srgbClr>
        </a:solidFill>
        <a:ln>
          <a:miter/>
        </a:ln>
      </xdr:spPr>
      <xdr:txBody>
        <a:bodyPr vertOverflow="clip" horzOverflow="overflow" wrap="square" lIns="20637" tIns="4762" rIns="4762" bIns="4762"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（単価入力）</a:t>
          </a:r>
          <a:endPar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kansenyobo@city.katagami.lg.jp" TargetMode="External" /><Relationship Id="rId2" Type="http://schemas.openxmlformats.org/officeDocument/2006/relationships/hyperlink" Target="mailto:kenkou@town.fujisato.lg.jp" TargetMode="External" /><Relationship Id="rId3" Type="http://schemas.openxmlformats.org/officeDocument/2006/relationships/hyperlink" Target="mailto:yobou@vill.higashinaruse.lg.jp" TargetMode="External" /><Relationship Id="rId4" Type="http://schemas.openxmlformats.org/officeDocument/2006/relationships/hyperlink" Target="mailto:fukushi@town.happo.lg.jp"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IV70"/>
  <sheetViews>
    <sheetView tabSelected="1" view="pageBreakPreview" zoomScale="90" zoomScaleSheetLayoutView="90" workbookViewId="0">
      <selection activeCell="AV18" sqref="AV18"/>
    </sheetView>
  </sheetViews>
  <sheetFormatPr defaultColWidth="2.5703125" defaultRowHeight="18.75" customHeight="1"/>
  <cols>
    <col min="1" max="6" width="3.42578125" style="1" customWidth="1"/>
    <col min="7" max="16" width="2.5703125" style="1"/>
    <col min="17" max="18" width="2.42578125" style="1" customWidth="1"/>
    <col min="19" max="26" width="2.5703125" style="1"/>
    <col min="27" max="28" width="2.42578125" style="1" customWidth="1"/>
    <col min="29" max="36" width="2.5703125" style="1"/>
    <col min="37" max="38" width="2.42578125" style="1" customWidth="1"/>
    <col min="39" max="16384" width="2.5703125" style="1" bestFit="1" customWidth="0"/>
  </cols>
  <sheetData>
    <row r="1" spans="1:41" ht="20.100000000000001" customHeight="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N1" s="218"/>
    </row>
    <row r="2" spans="1:41" ht="20.100000000000001" customHeight="1">
      <c r="A2" s="5" t="s">
        <v>15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1" ht="20.100000000000001" customHeight="1">
      <c r="AB3" s="1" t="s">
        <v>8</v>
      </c>
      <c r="AD3" s="116"/>
      <c r="AE3" s="116"/>
      <c r="AF3" s="207" t="s">
        <v>19</v>
      </c>
      <c r="AG3" s="135"/>
      <c r="AH3" s="135"/>
      <c r="AI3" s="207" t="s">
        <v>20</v>
      </c>
      <c r="AJ3" s="135"/>
      <c r="AK3" s="135"/>
      <c r="AL3" s="207" t="s">
        <v>6</v>
      </c>
    </row>
    <row r="4" spans="1:41" ht="20.100000000000001" customHeight="1">
      <c r="A4" s="6"/>
      <c r="B4" s="26" t="s">
        <v>2</v>
      </c>
      <c r="D4" s="45" t="s">
        <v>23</v>
      </c>
      <c r="E4" s="45"/>
      <c r="F4" s="45"/>
      <c r="G4" s="45"/>
      <c r="H4" s="45"/>
      <c r="I4" s="45"/>
      <c r="J4" s="45"/>
      <c r="K4" s="45"/>
      <c r="L4" s="45"/>
      <c r="M4" s="45"/>
      <c r="N4" s="45"/>
      <c r="O4" s="45"/>
      <c r="P4" s="45"/>
      <c r="Q4" s="144"/>
      <c r="R4" s="144"/>
      <c r="AO4" s="219" t="s">
        <v>29</v>
      </c>
    </row>
    <row r="5" spans="1:41" ht="20.100000000000001" customHeight="1">
      <c r="R5" s="150" t="s">
        <v>30</v>
      </c>
      <c r="S5" s="150"/>
      <c r="T5" s="150"/>
      <c r="U5" s="150"/>
      <c r="V5" s="150"/>
      <c r="W5" s="188" t="s">
        <v>32</v>
      </c>
      <c r="X5" s="189"/>
      <c r="Y5" s="189"/>
      <c r="Z5" s="189"/>
      <c r="AA5" s="189"/>
      <c r="AB5" s="189"/>
      <c r="AC5" s="189"/>
      <c r="AD5" s="189"/>
      <c r="AE5" s="189"/>
      <c r="AF5" s="189"/>
      <c r="AG5" s="189"/>
      <c r="AH5" s="189"/>
      <c r="AI5" s="189"/>
      <c r="AJ5" s="189"/>
      <c r="AK5" s="189"/>
      <c r="AM5" s="216"/>
    </row>
    <row r="6" spans="1:41" ht="20.100000000000001" customHeight="1">
      <c r="R6" s="150" t="s">
        <v>37</v>
      </c>
      <c r="S6" s="150"/>
      <c r="T6" s="150"/>
      <c r="U6" s="150"/>
      <c r="V6" s="150"/>
      <c r="W6" s="26" t="s">
        <v>32</v>
      </c>
      <c r="X6" s="190"/>
      <c r="Y6" s="190"/>
      <c r="Z6" s="190"/>
      <c r="AA6" s="190"/>
      <c r="AB6" s="190"/>
      <c r="AC6" s="190"/>
      <c r="AD6" s="190"/>
      <c r="AE6" s="190"/>
      <c r="AF6" s="190"/>
      <c r="AG6" s="190"/>
      <c r="AH6" s="190"/>
      <c r="AI6" s="190"/>
      <c r="AJ6" s="190"/>
      <c r="AK6" s="190"/>
      <c r="AM6" s="216"/>
    </row>
    <row r="7" spans="1:41" ht="20.100000000000001" customHeight="1">
      <c r="R7" s="150" t="s">
        <v>39</v>
      </c>
      <c r="S7" s="150"/>
      <c r="T7" s="150"/>
      <c r="U7" s="150"/>
      <c r="V7" s="150"/>
      <c r="W7" s="26" t="s">
        <v>32</v>
      </c>
      <c r="X7" s="190"/>
      <c r="Y7" s="190"/>
      <c r="Z7" s="190"/>
      <c r="AA7" s="190"/>
      <c r="AB7" s="190"/>
      <c r="AC7" s="190"/>
      <c r="AD7" s="190"/>
      <c r="AE7" s="190"/>
      <c r="AF7" s="190"/>
      <c r="AG7" s="190"/>
      <c r="AH7" s="190"/>
      <c r="AI7" s="190"/>
      <c r="AJ7" s="190"/>
      <c r="AK7" s="190"/>
      <c r="AM7" s="216"/>
    </row>
    <row r="8" spans="1:41" ht="20.100000000000001" customHeight="1">
      <c r="R8" s="150" t="s">
        <v>350</v>
      </c>
      <c r="S8" s="150"/>
      <c r="T8" s="150"/>
      <c r="U8" s="150"/>
      <c r="V8" s="150"/>
      <c r="W8" s="26" t="s">
        <v>32</v>
      </c>
      <c r="X8" s="189"/>
      <c r="Y8" s="189"/>
      <c r="Z8" s="189"/>
      <c r="AA8" s="189"/>
      <c r="AB8" s="189"/>
      <c r="AC8" s="189"/>
      <c r="AD8" s="189"/>
      <c r="AE8" s="189"/>
      <c r="AF8" s="189"/>
      <c r="AG8" s="189"/>
      <c r="AH8" s="189"/>
      <c r="AI8" s="189"/>
      <c r="AJ8" s="189"/>
      <c r="AK8" s="190" t="str">
        <f>IF(VLOOKUP($D$4,委託料一覧!A6:BJ33,62,FALSE)=0,"",VLOOKUP($D$4,委託料一覧!A6:BJ33,62,FALSE))</f>
        <v/>
      </c>
      <c r="AM8" s="216"/>
    </row>
    <row r="9" spans="1:41" ht="4.5" customHeight="1">
      <c r="R9" s="151"/>
      <c r="S9" s="151"/>
      <c r="T9" s="151"/>
      <c r="U9" s="151"/>
      <c r="V9" s="151"/>
      <c r="W9" s="26"/>
      <c r="X9" s="191"/>
      <c r="Y9" s="191"/>
      <c r="Z9" s="191"/>
      <c r="AA9" s="191"/>
      <c r="AB9" s="191"/>
      <c r="AC9" s="191"/>
      <c r="AD9" s="191"/>
      <c r="AE9" s="191"/>
      <c r="AF9" s="191"/>
      <c r="AG9" s="191"/>
      <c r="AH9" s="191"/>
      <c r="AI9" s="191"/>
      <c r="AJ9" s="191"/>
      <c r="AK9" s="191"/>
      <c r="AM9" s="217"/>
    </row>
    <row r="10" spans="1:41" ht="20.100000000000001" customHeight="1">
      <c r="I10" s="97" t="s">
        <v>51</v>
      </c>
      <c r="J10" s="1" t="s">
        <v>8</v>
      </c>
      <c r="L10" s="116"/>
      <c r="M10" s="116"/>
      <c r="N10" s="26" t="s">
        <v>19</v>
      </c>
      <c r="O10" s="135"/>
      <c r="P10" s="135"/>
      <c r="Q10" s="26" t="s">
        <v>53</v>
      </c>
      <c r="R10" s="26"/>
      <c r="S10" s="1" t="s">
        <v>54</v>
      </c>
    </row>
    <row r="11" spans="1:41" s="2" customFormat="1" ht="9.9499999999999993" customHeight="1"/>
    <row r="12" spans="1:41" s="2" customFormat="1" ht="18.75" customHeight="1">
      <c r="I12" s="98" t="s">
        <v>57</v>
      </c>
      <c r="J12" s="98"/>
      <c r="K12" s="98"/>
      <c r="L12" s="98"/>
      <c r="M12" s="98"/>
      <c r="N12" s="98"/>
      <c r="O12" s="1"/>
      <c r="P12" s="137">
        <f>AC52</f>
        <v>0</v>
      </c>
      <c r="Q12" s="137"/>
      <c r="R12" s="137"/>
      <c r="S12" s="137"/>
      <c r="T12" s="137"/>
      <c r="U12" s="137"/>
      <c r="V12" s="137"/>
      <c r="W12" s="137"/>
      <c r="X12" s="137"/>
      <c r="Y12" s="137"/>
      <c r="Z12" s="137"/>
      <c r="AA12" s="137"/>
      <c r="AB12" s="195" t="s">
        <v>61</v>
      </c>
      <c r="AC12" s="195"/>
    </row>
    <row r="13" spans="1:41" s="2" customFormat="1" ht="9.9499999999999993" customHeight="1">
      <c r="M13" s="131"/>
    </row>
    <row r="14" spans="1:41" s="2" customFormat="1" ht="16.5" customHeight="1">
      <c r="A14" s="1" t="s">
        <v>58</v>
      </c>
      <c r="T14" s="175" t="str">
        <f>"( "&amp;委託料一覧!A2&amp;" )"</f>
        <v>( 令和５年４月１日現在 )</v>
      </c>
      <c r="U14" s="175"/>
      <c r="V14" s="175"/>
      <c r="W14" s="175"/>
      <c r="X14" s="175"/>
      <c r="Y14" s="175"/>
      <c r="Z14" s="175"/>
      <c r="AA14" s="175"/>
    </row>
    <row r="15" spans="1:41" s="2" customFormat="1" ht="15" customHeight="1">
      <c r="A15" s="7" t="s">
        <v>64</v>
      </c>
      <c r="B15" s="27"/>
      <c r="C15" s="27"/>
      <c r="D15" s="27"/>
      <c r="E15" s="27"/>
      <c r="F15" s="46"/>
      <c r="G15" s="7" t="s">
        <v>62</v>
      </c>
      <c r="H15" s="41"/>
      <c r="I15" s="41"/>
      <c r="J15" s="41"/>
      <c r="K15" s="57"/>
      <c r="L15" s="117" t="s">
        <v>67</v>
      </c>
      <c r="M15" s="117"/>
      <c r="N15" s="117"/>
      <c r="O15" s="117"/>
      <c r="P15" s="117"/>
      <c r="Q15" s="117"/>
      <c r="R15" s="117"/>
      <c r="S15" s="117" t="s">
        <v>56</v>
      </c>
      <c r="T15" s="117"/>
      <c r="U15" s="117"/>
      <c r="V15" s="117"/>
      <c r="W15" s="117"/>
      <c r="X15" s="117"/>
      <c r="Y15" s="117"/>
      <c r="Z15" s="117"/>
      <c r="AA15" s="117"/>
      <c r="AB15" s="117"/>
      <c r="AC15" s="117" t="s">
        <v>44</v>
      </c>
      <c r="AD15" s="117"/>
      <c r="AE15" s="117"/>
      <c r="AF15" s="117"/>
      <c r="AG15" s="117"/>
      <c r="AH15" s="117"/>
      <c r="AI15" s="117"/>
      <c r="AJ15" s="117"/>
      <c r="AK15" s="117"/>
      <c r="AL15" s="117"/>
    </row>
    <row r="16" spans="1:41" s="2" customFormat="1" ht="15" customHeight="1">
      <c r="A16" s="8" t="s">
        <v>74</v>
      </c>
      <c r="B16" s="28"/>
      <c r="C16" s="28"/>
      <c r="D16" s="28"/>
      <c r="E16" s="28"/>
      <c r="F16" s="47"/>
      <c r="G16" s="60" t="str">
        <f>IF(VLOOKUP($D$4,委託料一覧!A6:BI33,6,FALSE)=0,"",VLOOKUP($D$4,委託料一覧!A6:BI33,6,FALSE))</f>
        <v/>
      </c>
      <c r="H16" s="79"/>
      <c r="I16" s="79"/>
      <c r="J16" s="79"/>
      <c r="K16" s="101"/>
      <c r="L16" s="118"/>
      <c r="M16" s="118"/>
      <c r="N16" s="118"/>
      <c r="O16" s="118"/>
      <c r="P16" s="125"/>
      <c r="Q16" s="101" t="str">
        <f>IF($G$16="","",IF(ISBLANK($L$16)=TRUE,"","人"))</f>
        <v/>
      </c>
      <c r="R16" s="152"/>
      <c r="S16" s="163">
        <f>VLOOKUP($D$4,委託料一覧!$A$6:$BI$33,7,FALSE)</f>
        <v>0</v>
      </c>
      <c r="T16" s="176"/>
      <c r="U16" s="176"/>
      <c r="V16" s="176"/>
      <c r="W16" s="176"/>
      <c r="X16" s="176"/>
      <c r="Y16" s="176"/>
      <c r="Z16" s="176"/>
      <c r="AA16" s="101" t="str">
        <f>IF($S$16=0,"","円")</f>
        <v/>
      </c>
      <c r="AB16" s="152"/>
      <c r="AC16" s="165">
        <f t="shared" ref="AC16:AC51" si="0">L16*S16</f>
        <v>0</v>
      </c>
      <c r="AD16" s="165"/>
      <c r="AE16" s="165"/>
      <c r="AF16" s="165"/>
      <c r="AG16" s="165"/>
      <c r="AH16" s="165"/>
      <c r="AI16" s="165"/>
      <c r="AJ16" s="163"/>
      <c r="AK16" s="101" t="str">
        <f>IF($G$16="","",IF(ISBLANK($L$16)=TRUE,"","円"))</f>
        <v/>
      </c>
      <c r="AL16" s="152"/>
    </row>
    <row r="17" spans="1:38" s="2" customFormat="1" ht="15" customHeight="1">
      <c r="A17" s="9"/>
      <c r="B17" s="29"/>
      <c r="C17" s="29"/>
      <c r="D17" s="29"/>
      <c r="E17" s="29"/>
      <c r="F17" s="48"/>
      <c r="G17" s="61" t="str">
        <f>IF(VLOOKUP($D$4,委託料一覧!A6:BI33,8,FALSE)=0,"",VLOOKUP($D$4,委託料一覧!A6:BI33,8,FALSE))</f>
        <v/>
      </c>
      <c r="H17" s="80"/>
      <c r="I17" s="80"/>
      <c r="J17" s="80"/>
      <c r="K17" s="102"/>
      <c r="L17" s="119"/>
      <c r="M17" s="119"/>
      <c r="N17" s="119"/>
      <c r="O17" s="119"/>
      <c r="P17" s="123"/>
      <c r="Q17" s="102" t="str">
        <f>IF(ISBLANK($L$17)=TRUE,"","人")</f>
        <v/>
      </c>
      <c r="R17" s="153"/>
      <c r="S17" s="143">
        <f>VLOOKUP($D$4,委託料一覧!A6:BI33,9,FALSE)</f>
        <v>0</v>
      </c>
      <c r="T17" s="177"/>
      <c r="U17" s="177"/>
      <c r="V17" s="177"/>
      <c r="W17" s="177"/>
      <c r="X17" s="177"/>
      <c r="Y17" s="177"/>
      <c r="Z17" s="177"/>
      <c r="AA17" s="102" t="str">
        <f>IF($S$17=0,"","円")</f>
        <v/>
      </c>
      <c r="AB17" s="153"/>
      <c r="AC17" s="130">
        <f t="shared" si="0"/>
        <v>0</v>
      </c>
      <c r="AD17" s="130"/>
      <c r="AE17" s="130"/>
      <c r="AF17" s="130"/>
      <c r="AG17" s="130"/>
      <c r="AH17" s="130"/>
      <c r="AI17" s="130"/>
      <c r="AJ17" s="143"/>
      <c r="AK17" s="102" t="str">
        <f>IF(ISBLANK($L$17)=TRUE,"","円")</f>
        <v/>
      </c>
      <c r="AL17" s="153"/>
    </row>
    <row r="18" spans="1:38" s="2" customFormat="1" ht="15" customHeight="1">
      <c r="A18" s="8" t="s">
        <v>17</v>
      </c>
      <c r="B18" s="28"/>
      <c r="C18" s="28"/>
      <c r="D18" s="28"/>
      <c r="E18" s="28"/>
      <c r="F18" s="47"/>
      <c r="G18" s="60" t="str">
        <f>IF(VLOOKUP($D$4,委託料一覧!A6:BI33,10,FALSE)=0,"",VLOOKUP($D$4,委託料一覧!A6:BI33,10,FALSE))</f>
        <v/>
      </c>
      <c r="H18" s="79"/>
      <c r="I18" s="79"/>
      <c r="J18" s="79"/>
      <c r="K18" s="101"/>
      <c r="L18" s="118"/>
      <c r="M18" s="118"/>
      <c r="N18" s="118"/>
      <c r="O18" s="118"/>
      <c r="P18" s="125"/>
      <c r="Q18" s="101" t="str">
        <f>IF($G$18="","",IF(ISBLANK($L$18)=TRUE,"","人"))</f>
        <v/>
      </c>
      <c r="R18" s="152"/>
      <c r="S18" s="163">
        <f>VLOOKUP($D$4,委託料一覧!$A$6:$BI$33,11,FALSE)</f>
        <v>0</v>
      </c>
      <c r="T18" s="176"/>
      <c r="U18" s="176"/>
      <c r="V18" s="176"/>
      <c r="W18" s="176"/>
      <c r="X18" s="176"/>
      <c r="Y18" s="176"/>
      <c r="Z18" s="176"/>
      <c r="AA18" s="101" t="str">
        <f>IF($S$18=0,"","円")</f>
        <v/>
      </c>
      <c r="AB18" s="152"/>
      <c r="AC18" s="163">
        <f t="shared" si="0"/>
        <v>0</v>
      </c>
      <c r="AD18" s="176"/>
      <c r="AE18" s="176"/>
      <c r="AF18" s="176"/>
      <c r="AG18" s="176"/>
      <c r="AH18" s="176"/>
      <c r="AI18" s="176"/>
      <c r="AJ18" s="176"/>
      <c r="AK18" s="101" t="str">
        <f>IF($G$18="","",IF(ISBLANK($L$18)=TRUE,"","円"))</f>
        <v/>
      </c>
      <c r="AL18" s="152"/>
    </row>
    <row r="19" spans="1:38" s="2" customFormat="1" ht="15" customHeight="1">
      <c r="A19" s="9"/>
      <c r="B19" s="29"/>
      <c r="C19" s="29"/>
      <c r="D19" s="29"/>
      <c r="E19" s="29"/>
      <c r="F19" s="48"/>
      <c r="G19" s="61" t="str">
        <f>IF(VLOOKUP($D$4,委託料一覧!A6:BI33,12,FALSE)=0,"",VLOOKUP($D$4,委託料一覧!A6:BI33,12,FALSE))</f>
        <v/>
      </c>
      <c r="H19" s="80"/>
      <c r="I19" s="80"/>
      <c r="J19" s="80"/>
      <c r="K19" s="102"/>
      <c r="L19" s="119"/>
      <c r="M19" s="119"/>
      <c r="N19" s="119"/>
      <c r="O19" s="119"/>
      <c r="P19" s="123"/>
      <c r="Q19" s="102" t="str">
        <f>IF(ISBLANK($L$19)=TRUE,"","人")</f>
        <v/>
      </c>
      <c r="R19" s="153"/>
      <c r="S19" s="143">
        <f>VLOOKUP($D$4,委託料一覧!$A$6:$BI$33,13,FALSE)</f>
        <v>0</v>
      </c>
      <c r="T19" s="177"/>
      <c r="U19" s="177"/>
      <c r="V19" s="177"/>
      <c r="W19" s="177"/>
      <c r="X19" s="177"/>
      <c r="Y19" s="177"/>
      <c r="Z19" s="177"/>
      <c r="AA19" s="102" t="str">
        <f>IF($S$19=0,"","円")</f>
        <v/>
      </c>
      <c r="AB19" s="153"/>
      <c r="AC19" s="143">
        <f t="shared" si="0"/>
        <v>0</v>
      </c>
      <c r="AD19" s="177"/>
      <c r="AE19" s="177"/>
      <c r="AF19" s="177"/>
      <c r="AG19" s="177"/>
      <c r="AH19" s="177"/>
      <c r="AI19" s="177"/>
      <c r="AJ19" s="177"/>
      <c r="AK19" s="102" t="str">
        <f>IF(ISBLANK($L$19)=TRUE,"","円")</f>
        <v/>
      </c>
      <c r="AL19" s="153"/>
    </row>
    <row r="20" spans="1:38" s="2" customFormat="1" ht="15" customHeight="1">
      <c r="A20" s="10" t="s">
        <v>78</v>
      </c>
      <c r="B20" s="30"/>
      <c r="C20" s="30"/>
      <c r="D20" s="30"/>
      <c r="E20" s="30"/>
      <c r="F20" s="30"/>
      <c r="G20" s="30"/>
      <c r="H20" s="30"/>
      <c r="I20" s="30"/>
      <c r="J20" s="30"/>
      <c r="K20" s="103"/>
      <c r="L20" s="120"/>
      <c r="M20" s="120"/>
      <c r="N20" s="120"/>
      <c r="O20" s="120"/>
      <c r="P20" s="74"/>
      <c r="Q20" s="57" t="str">
        <f>IF(ISBLANK($L$20)=TRUE,"","人")</f>
        <v/>
      </c>
      <c r="R20" s="117"/>
      <c r="S20" s="164">
        <f>VLOOKUP($D$4,委託料一覧!$A$6:$BI$33,14,FALSE)</f>
        <v>0</v>
      </c>
      <c r="T20" s="178"/>
      <c r="U20" s="178"/>
      <c r="V20" s="178"/>
      <c r="W20" s="178"/>
      <c r="X20" s="178"/>
      <c r="Y20" s="178"/>
      <c r="Z20" s="178"/>
      <c r="AA20" s="57" t="str">
        <f>IF($S$20=0,"","円")</f>
        <v/>
      </c>
      <c r="AB20" s="117"/>
      <c r="AC20" s="198">
        <f t="shared" si="0"/>
        <v>0</v>
      </c>
      <c r="AD20" s="198"/>
      <c r="AE20" s="198"/>
      <c r="AF20" s="198"/>
      <c r="AG20" s="198"/>
      <c r="AH20" s="198"/>
      <c r="AI20" s="198"/>
      <c r="AJ20" s="164"/>
      <c r="AK20" s="57" t="str">
        <f>IF(ISBLANK($L$20)=TRUE,"","円")</f>
        <v/>
      </c>
      <c r="AL20" s="117"/>
    </row>
    <row r="21" spans="1:38" s="2" customFormat="1" ht="15" customHeight="1">
      <c r="A21" s="8" t="s">
        <v>80</v>
      </c>
      <c r="B21" s="28"/>
      <c r="C21" s="28"/>
      <c r="D21" s="28"/>
      <c r="E21" s="28"/>
      <c r="F21" s="47"/>
      <c r="G21" s="60" t="str">
        <f>IF(VLOOKUP($D$4,委託料一覧!A6:BI33,15,FALSE)=0,"",VLOOKUP($D$4,委託料一覧!A6:BI33,15,FALSE))</f>
        <v/>
      </c>
      <c r="H21" s="79"/>
      <c r="I21" s="79"/>
      <c r="J21" s="79"/>
      <c r="K21" s="101"/>
      <c r="L21" s="118"/>
      <c r="M21" s="118"/>
      <c r="N21" s="118"/>
      <c r="O21" s="118"/>
      <c r="P21" s="125"/>
      <c r="Q21" s="79" t="str">
        <f>IF($G$21="","",IF(ISBLANK($L$21)=TRUE,"","人"))</f>
        <v/>
      </c>
      <c r="R21" s="101"/>
      <c r="S21" s="163">
        <f>VLOOKUP($D$4,委託料一覧!$A$6:$BI$33,16,FALSE)</f>
        <v>0</v>
      </c>
      <c r="T21" s="176"/>
      <c r="U21" s="176"/>
      <c r="V21" s="176"/>
      <c r="W21" s="176"/>
      <c r="X21" s="176"/>
      <c r="Y21" s="176"/>
      <c r="Z21" s="176"/>
      <c r="AA21" s="101" t="str">
        <f>IF($S$21=0,"","円")</f>
        <v/>
      </c>
      <c r="AB21" s="152"/>
      <c r="AC21" s="165">
        <f t="shared" si="0"/>
        <v>0</v>
      </c>
      <c r="AD21" s="165"/>
      <c r="AE21" s="165"/>
      <c r="AF21" s="165"/>
      <c r="AG21" s="165"/>
      <c r="AH21" s="165"/>
      <c r="AI21" s="165"/>
      <c r="AJ21" s="163"/>
      <c r="AK21" s="101" t="str">
        <f>IF($G$21="","",IF(ISBLANK($L$21)=TRUE,"","円"))</f>
        <v/>
      </c>
      <c r="AL21" s="152"/>
    </row>
    <row r="22" spans="1:38" s="2" customFormat="1" ht="15" customHeight="1">
      <c r="A22" s="9"/>
      <c r="B22" s="29"/>
      <c r="C22" s="29"/>
      <c r="D22" s="29"/>
      <c r="E22" s="29"/>
      <c r="F22" s="48"/>
      <c r="G22" s="61" t="str">
        <f>IF(VLOOKUP($D$4,委託料一覧!A6:BI33,17,FALSE)=0,"",VLOOKUP($D$4,委託料一覧!A6:BI33,17,FALSE))</f>
        <v/>
      </c>
      <c r="H22" s="80"/>
      <c r="I22" s="80"/>
      <c r="J22" s="80"/>
      <c r="K22" s="102"/>
      <c r="L22" s="119"/>
      <c r="M22" s="119"/>
      <c r="N22" s="119"/>
      <c r="O22" s="119"/>
      <c r="P22" s="123"/>
      <c r="Q22" s="102" t="str">
        <f>IF(ISBLANK($L$22)=TRUE,"","人")</f>
        <v/>
      </c>
      <c r="R22" s="153"/>
      <c r="S22" s="143">
        <f>VLOOKUP($D$4,委託料一覧!$A$6:$BI$33,18,FALSE)</f>
        <v>0</v>
      </c>
      <c r="T22" s="177"/>
      <c r="U22" s="177"/>
      <c r="V22" s="177"/>
      <c r="W22" s="177"/>
      <c r="X22" s="177"/>
      <c r="Y22" s="177"/>
      <c r="Z22" s="177"/>
      <c r="AA22" s="102" t="str">
        <f>IF($S$22=0,"","円")</f>
        <v/>
      </c>
      <c r="AB22" s="153"/>
      <c r="AC22" s="130">
        <f t="shared" si="0"/>
        <v>0</v>
      </c>
      <c r="AD22" s="130"/>
      <c r="AE22" s="130"/>
      <c r="AF22" s="130"/>
      <c r="AG22" s="130"/>
      <c r="AH22" s="130"/>
      <c r="AI22" s="130"/>
      <c r="AJ22" s="143"/>
      <c r="AK22" s="102" t="str">
        <f>IF(ISBLANK($L$22)=TRUE,"","円")</f>
        <v/>
      </c>
      <c r="AL22" s="153"/>
    </row>
    <row r="23" spans="1:38" s="2" customFormat="1" ht="15" customHeight="1">
      <c r="A23" s="8" t="s">
        <v>82</v>
      </c>
      <c r="B23" s="31"/>
      <c r="C23" s="31"/>
      <c r="D23" s="31"/>
      <c r="E23" s="31"/>
      <c r="F23" s="49"/>
      <c r="G23" s="7" t="s">
        <v>85</v>
      </c>
      <c r="H23" s="41"/>
      <c r="I23" s="41"/>
      <c r="J23" s="41"/>
      <c r="K23" s="57"/>
      <c r="L23" s="120"/>
      <c r="M23" s="120"/>
      <c r="N23" s="120"/>
      <c r="O23" s="120"/>
      <c r="P23" s="74"/>
      <c r="Q23" s="57" t="str">
        <f>IF(ISBLANK($L$23)=TRUE,"","人")</f>
        <v/>
      </c>
      <c r="R23" s="117"/>
      <c r="S23" s="164">
        <f>VLOOKUP($D$4,委託料一覧!$A$6:$BI$33,19,FALSE)</f>
        <v>0</v>
      </c>
      <c r="T23" s="178"/>
      <c r="U23" s="178"/>
      <c r="V23" s="178"/>
      <c r="W23" s="178"/>
      <c r="X23" s="178"/>
      <c r="Y23" s="178"/>
      <c r="Z23" s="178"/>
      <c r="AA23" s="57" t="str">
        <f>IF($S$23=0,"","円")</f>
        <v/>
      </c>
      <c r="AB23" s="117"/>
      <c r="AC23" s="198">
        <f t="shared" si="0"/>
        <v>0</v>
      </c>
      <c r="AD23" s="198"/>
      <c r="AE23" s="198"/>
      <c r="AF23" s="198"/>
      <c r="AG23" s="198"/>
      <c r="AH23" s="198"/>
      <c r="AI23" s="198"/>
      <c r="AJ23" s="164"/>
      <c r="AK23" s="57" t="str">
        <f>IF(ISBLANK($L$23)=TRUE,"","円")</f>
        <v/>
      </c>
      <c r="AL23" s="117"/>
    </row>
    <row r="24" spans="1:38" s="2" customFormat="1" ht="15" customHeight="1">
      <c r="A24" s="11"/>
      <c r="B24" s="32"/>
      <c r="C24" s="32"/>
      <c r="D24" s="32"/>
      <c r="E24" s="32"/>
      <c r="F24" s="50"/>
      <c r="G24" s="60" t="str">
        <f>IF(VLOOKUP($D$4,委託料一覧!A6:BI33,20,FALSE)=0,"",VLOOKUP($D$4,委託料一覧!A6:BI33,20,FALSE))</f>
        <v/>
      </c>
      <c r="H24" s="79"/>
      <c r="I24" s="79"/>
      <c r="J24" s="79"/>
      <c r="K24" s="101"/>
      <c r="L24" s="118"/>
      <c r="M24" s="118"/>
      <c r="N24" s="118"/>
      <c r="O24" s="118"/>
      <c r="P24" s="125"/>
      <c r="Q24" s="101" t="str">
        <f>IF($G$24="","",IF(ISBLANK($L$24)=TRUE,"","人"))</f>
        <v/>
      </c>
      <c r="R24" s="152"/>
      <c r="S24" s="165">
        <f>VLOOKUP($D$4,委託料一覧!$A$6:$BI$33,21,FALSE)</f>
        <v>0</v>
      </c>
      <c r="T24" s="165"/>
      <c r="U24" s="165"/>
      <c r="V24" s="165"/>
      <c r="W24" s="165"/>
      <c r="X24" s="165"/>
      <c r="Y24" s="165"/>
      <c r="Z24" s="163"/>
      <c r="AA24" s="101" t="str">
        <f>IF($S$24=0,"","円")</f>
        <v/>
      </c>
      <c r="AB24" s="152"/>
      <c r="AC24" s="165">
        <f t="shared" si="0"/>
        <v>0</v>
      </c>
      <c r="AD24" s="165"/>
      <c r="AE24" s="165"/>
      <c r="AF24" s="165"/>
      <c r="AG24" s="165"/>
      <c r="AH24" s="165"/>
      <c r="AI24" s="165"/>
      <c r="AJ24" s="163"/>
      <c r="AK24" s="101" t="str">
        <f>IF($G$24="","",IF(ISBLANK($L$24)=TRUE,"","円"))</f>
        <v/>
      </c>
      <c r="AL24" s="152"/>
    </row>
    <row r="25" spans="1:38" s="2" customFormat="1" ht="15" customHeight="1">
      <c r="A25" s="12"/>
      <c r="B25" s="33"/>
      <c r="C25" s="33"/>
      <c r="D25" s="33"/>
      <c r="E25" s="33"/>
      <c r="F25" s="51"/>
      <c r="G25" s="61" t="str">
        <f>IF(VLOOKUP($D$4,委託料一覧!A6:BI33,22,FALSE)=0,"",VLOOKUP($D$4,委託料一覧!A6:BI33,22,FALSE))</f>
        <v/>
      </c>
      <c r="H25" s="80"/>
      <c r="I25" s="80"/>
      <c r="J25" s="80"/>
      <c r="K25" s="102"/>
      <c r="L25" s="119"/>
      <c r="M25" s="119"/>
      <c r="N25" s="119"/>
      <c r="O25" s="119"/>
      <c r="P25" s="123"/>
      <c r="Q25" s="102" t="str">
        <f>IF(ISBLANK($L$25)=TRUE,"","人")</f>
        <v/>
      </c>
      <c r="R25" s="153"/>
      <c r="S25" s="143">
        <f>VLOOKUP($D$4,委託料一覧!$A$6:$BI$33,23,FALSE)</f>
        <v>0</v>
      </c>
      <c r="T25" s="177"/>
      <c r="U25" s="177"/>
      <c r="V25" s="177"/>
      <c r="W25" s="177"/>
      <c r="X25" s="177"/>
      <c r="Y25" s="177"/>
      <c r="Z25" s="177"/>
      <c r="AA25" s="80" t="str">
        <f>IF($S$25=0,"","円")</f>
        <v/>
      </c>
      <c r="AB25" s="102"/>
      <c r="AC25" s="130">
        <f t="shared" si="0"/>
        <v>0</v>
      </c>
      <c r="AD25" s="130"/>
      <c r="AE25" s="130"/>
      <c r="AF25" s="130"/>
      <c r="AG25" s="130"/>
      <c r="AH25" s="130"/>
      <c r="AI25" s="130"/>
      <c r="AJ25" s="143"/>
      <c r="AK25" s="102" t="str">
        <f>IF(ISBLANK($L$25)=TRUE,"","円")</f>
        <v/>
      </c>
      <c r="AL25" s="153"/>
    </row>
    <row r="26" spans="1:38" s="2" customFormat="1" ht="15" customHeight="1">
      <c r="A26" s="8" t="s">
        <v>75</v>
      </c>
      <c r="B26" s="31"/>
      <c r="C26" s="31"/>
      <c r="D26" s="31"/>
      <c r="E26" s="31"/>
      <c r="F26" s="49"/>
      <c r="G26" s="7" t="s">
        <v>85</v>
      </c>
      <c r="H26" s="41"/>
      <c r="I26" s="41"/>
      <c r="J26" s="41"/>
      <c r="K26" s="57"/>
      <c r="L26" s="120"/>
      <c r="M26" s="120"/>
      <c r="N26" s="120"/>
      <c r="O26" s="120"/>
      <c r="P26" s="74"/>
      <c r="Q26" s="57" t="str">
        <f>IF(ISBLANK($L$26)=TRUE,"","人")</f>
        <v/>
      </c>
      <c r="R26" s="117"/>
      <c r="S26" s="164">
        <f>VLOOKUP($D$4,委託料一覧!A6:BI33,24,FALSE)</f>
        <v>0</v>
      </c>
      <c r="T26" s="178"/>
      <c r="U26" s="178"/>
      <c r="V26" s="178"/>
      <c r="W26" s="178"/>
      <c r="X26" s="178"/>
      <c r="Y26" s="178"/>
      <c r="Z26" s="178"/>
      <c r="AA26" s="57" t="str">
        <f>IF($S$26=0,"","円")</f>
        <v/>
      </c>
      <c r="AB26" s="117"/>
      <c r="AC26" s="198">
        <f t="shared" si="0"/>
        <v>0</v>
      </c>
      <c r="AD26" s="198"/>
      <c r="AE26" s="198"/>
      <c r="AF26" s="198"/>
      <c r="AG26" s="198"/>
      <c r="AH26" s="198"/>
      <c r="AI26" s="198"/>
      <c r="AJ26" s="164"/>
      <c r="AK26" s="57" t="str">
        <f>IF(ISBLANK($L$26)=TRUE,"","円")</f>
        <v/>
      </c>
      <c r="AL26" s="117"/>
    </row>
    <row r="27" spans="1:38" s="2" customFormat="1" ht="15" customHeight="1">
      <c r="A27" s="11"/>
      <c r="B27" s="32"/>
      <c r="C27" s="32"/>
      <c r="D27" s="32"/>
      <c r="E27" s="32"/>
      <c r="F27" s="50"/>
      <c r="G27" s="60" t="str">
        <f>IF(VLOOKUP($D$4,委託料一覧!A6:BI33,25,FALSE)=0,"",VLOOKUP($D$4,委託料一覧!A6:BI33,25,FALSE))</f>
        <v/>
      </c>
      <c r="H27" s="79"/>
      <c r="I27" s="79"/>
      <c r="J27" s="79"/>
      <c r="K27" s="101"/>
      <c r="L27" s="118"/>
      <c r="M27" s="118"/>
      <c r="N27" s="118"/>
      <c r="O27" s="118"/>
      <c r="P27" s="125"/>
      <c r="Q27" s="101" t="str">
        <f>IF($G$27="","",IF(ISBLANK($L$27)=TRUE,"","人"))</f>
        <v/>
      </c>
      <c r="R27" s="152"/>
      <c r="S27" s="165">
        <f>VLOOKUP($D$4,委託料一覧!$A$6:$BI$33,26,FALSE)</f>
        <v>0</v>
      </c>
      <c r="T27" s="165"/>
      <c r="U27" s="165"/>
      <c r="V27" s="165"/>
      <c r="W27" s="165"/>
      <c r="X27" s="165"/>
      <c r="Y27" s="165"/>
      <c r="Z27" s="163"/>
      <c r="AA27" s="101" t="str">
        <f>IF($S$27=0,"","円")</f>
        <v/>
      </c>
      <c r="AB27" s="152"/>
      <c r="AC27" s="165">
        <f t="shared" si="0"/>
        <v>0</v>
      </c>
      <c r="AD27" s="165"/>
      <c r="AE27" s="165"/>
      <c r="AF27" s="165"/>
      <c r="AG27" s="165"/>
      <c r="AH27" s="165"/>
      <c r="AI27" s="165"/>
      <c r="AJ27" s="163"/>
      <c r="AK27" s="101" t="str">
        <f>IF($G$27="","",IF(ISBLANK($L$27)=TRUE,"","円"))</f>
        <v/>
      </c>
      <c r="AL27" s="152"/>
    </row>
    <row r="28" spans="1:38" s="2" customFormat="1" ht="15" customHeight="1">
      <c r="A28" s="12"/>
      <c r="B28" s="33"/>
      <c r="C28" s="33"/>
      <c r="D28" s="33"/>
      <c r="E28" s="33"/>
      <c r="F28" s="51"/>
      <c r="G28" s="61" t="str">
        <f>IF(VLOOKUP($D$4,委託料一覧!A6:BI33,27,FALSE)=0,"",VLOOKUP($D$4,委託料一覧!A6:BI33,27,FALSE))</f>
        <v/>
      </c>
      <c r="H28" s="80"/>
      <c r="I28" s="80"/>
      <c r="J28" s="80"/>
      <c r="K28" s="102"/>
      <c r="L28" s="119"/>
      <c r="M28" s="119"/>
      <c r="N28" s="119"/>
      <c r="O28" s="119"/>
      <c r="P28" s="123"/>
      <c r="Q28" s="102" t="str">
        <f>IF(ISBLANK($L$28)=TRUE,"","人")</f>
        <v/>
      </c>
      <c r="R28" s="153"/>
      <c r="S28" s="143">
        <f>VLOOKUP($D$4,委託料一覧!$A$6:$BI$33,28,FALSE)</f>
        <v>0</v>
      </c>
      <c r="T28" s="177"/>
      <c r="U28" s="177"/>
      <c r="V28" s="177"/>
      <c r="W28" s="177"/>
      <c r="X28" s="177"/>
      <c r="Y28" s="177"/>
      <c r="Z28" s="177"/>
      <c r="AA28" s="102" t="str">
        <f>IF($S$28=0,"","円")</f>
        <v/>
      </c>
      <c r="AB28" s="153"/>
      <c r="AC28" s="130">
        <f t="shared" si="0"/>
        <v>0</v>
      </c>
      <c r="AD28" s="130"/>
      <c r="AE28" s="130"/>
      <c r="AF28" s="130"/>
      <c r="AG28" s="130"/>
      <c r="AH28" s="130"/>
      <c r="AI28" s="130"/>
      <c r="AJ28" s="143"/>
      <c r="AK28" s="102" t="str">
        <f>IF(ISBLANK($L$28)=TRUE,"","円")</f>
        <v/>
      </c>
      <c r="AL28" s="153"/>
    </row>
    <row r="29" spans="1:38" s="2" customFormat="1" ht="15" customHeight="1">
      <c r="A29" s="8" t="s">
        <v>88</v>
      </c>
      <c r="B29" s="31"/>
      <c r="C29" s="31"/>
      <c r="D29" s="31"/>
      <c r="E29" s="31"/>
      <c r="F29" s="49"/>
      <c r="G29" s="7" t="s">
        <v>85</v>
      </c>
      <c r="H29" s="41"/>
      <c r="I29" s="41"/>
      <c r="J29" s="41"/>
      <c r="K29" s="57"/>
      <c r="L29" s="120"/>
      <c r="M29" s="120"/>
      <c r="N29" s="120"/>
      <c r="O29" s="120"/>
      <c r="P29" s="74"/>
      <c r="Q29" s="57" t="str">
        <f>IF(ISBLANK($L$29)=TRUE,"","人")</f>
        <v/>
      </c>
      <c r="R29" s="117"/>
      <c r="S29" s="164">
        <f>VLOOKUP($D$4,委託料一覧!$A$6:$BI$33,29,FALSE)</f>
        <v>0</v>
      </c>
      <c r="T29" s="178"/>
      <c r="U29" s="178"/>
      <c r="V29" s="178"/>
      <c r="W29" s="178"/>
      <c r="X29" s="178"/>
      <c r="Y29" s="178"/>
      <c r="Z29" s="178"/>
      <c r="AA29" s="57" t="str">
        <f>IF($S$29=0,"","円")</f>
        <v/>
      </c>
      <c r="AB29" s="117"/>
      <c r="AC29" s="198">
        <f t="shared" si="0"/>
        <v>0</v>
      </c>
      <c r="AD29" s="198"/>
      <c r="AE29" s="198"/>
      <c r="AF29" s="198"/>
      <c r="AG29" s="198"/>
      <c r="AH29" s="198"/>
      <c r="AI29" s="198"/>
      <c r="AJ29" s="164"/>
      <c r="AK29" s="57" t="str">
        <f>IF(ISBLANK($L$29)=TRUE,"","円")</f>
        <v/>
      </c>
      <c r="AL29" s="117"/>
    </row>
    <row r="30" spans="1:38" s="2" customFormat="1" ht="15" customHeight="1">
      <c r="A30" s="11"/>
      <c r="B30" s="32"/>
      <c r="C30" s="32"/>
      <c r="D30" s="32"/>
      <c r="E30" s="32"/>
      <c r="F30" s="50"/>
      <c r="G30" s="60" t="str">
        <f>IF(VLOOKUP($D$4,委託料一覧!A6:BI33,30,FALSE)=0,"",VLOOKUP($D$4,委託料一覧!A6:BI33,30,FALSE))</f>
        <v/>
      </c>
      <c r="H30" s="79"/>
      <c r="I30" s="79"/>
      <c r="J30" s="79"/>
      <c r="K30" s="101"/>
      <c r="L30" s="118"/>
      <c r="M30" s="118"/>
      <c r="N30" s="118"/>
      <c r="O30" s="118"/>
      <c r="P30" s="125"/>
      <c r="Q30" s="101" t="str">
        <f>IF($G$30="","",IF(ISBLANK($L$30)=TRUE,"","人"))</f>
        <v/>
      </c>
      <c r="R30" s="152"/>
      <c r="S30" s="165">
        <f>VLOOKUP($D$4,委託料一覧!$A$6:$BI$33,31,FALSE)</f>
        <v>0</v>
      </c>
      <c r="T30" s="165"/>
      <c r="U30" s="165"/>
      <c r="V30" s="165"/>
      <c r="W30" s="165"/>
      <c r="X30" s="165"/>
      <c r="Y30" s="165"/>
      <c r="Z30" s="163"/>
      <c r="AA30" s="101" t="str">
        <f>IF($S$30=0,"","円")</f>
        <v/>
      </c>
      <c r="AB30" s="152"/>
      <c r="AC30" s="165">
        <f t="shared" si="0"/>
        <v>0</v>
      </c>
      <c r="AD30" s="165"/>
      <c r="AE30" s="165"/>
      <c r="AF30" s="165"/>
      <c r="AG30" s="165"/>
      <c r="AH30" s="165"/>
      <c r="AI30" s="165"/>
      <c r="AJ30" s="163"/>
      <c r="AK30" s="101" t="str">
        <f>IF($G$30="","",IF(ISBLANK($L$30)=TRUE,"","円"))</f>
        <v/>
      </c>
      <c r="AL30" s="152"/>
    </row>
    <row r="31" spans="1:38" s="2" customFormat="1" ht="15" customHeight="1">
      <c r="A31" s="12"/>
      <c r="B31" s="33"/>
      <c r="C31" s="33"/>
      <c r="D31" s="33"/>
      <c r="E31" s="33"/>
      <c r="F31" s="51"/>
      <c r="G31" s="61" t="str">
        <f>IF(VLOOKUP($D$4,委託料一覧!A6:BI33,32,FALSE)=0,"",VLOOKUP($D$4,委託料一覧!A6:BI33,32,FALSE))</f>
        <v/>
      </c>
      <c r="H31" s="80"/>
      <c r="I31" s="80"/>
      <c r="J31" s="80"/>
      <c r="K31" s="102"/>
      <c r="L31" s="119"/>
      <c r="M31" s="119"/>
      <c r="N31" s="119"/>
      <c r="O31" s="119"/>
      <c r="P31" s="123"/>
      <c r="Q31" s="102" t="str">
        <f>IF(ISBLANK($L$31)=TRUE,"","人")</f>
        <v/>
      </c>
      <c r="R31" s="153"/>
      <c r="S31" s="143">
        <f>VLOOKUP($D$4,委託料一覧!$A$6:$BI$33,33,FALSE)</f>
        <v>0</v>
      </c>
      <c r="T31" s="177"/>
      <c r="U31" s="177"/>
      <c r="V31" s="177"/>
      <c r="W31" s="177"/>
      <c r="X31" s="177"/>
      <c r="Y31" s="177"/>
      <c r="Z31" s="177"/>
      <c r="AA31" s="102" t="str">
        <f>IF($S$31=0,"","円")</f>
        <v/>
      </c>
      <c r="AB31" s="153"/>
      <c r="AC31" s="130">
        <f t="shared" si="0"/>
        <v>0</v>
      </c>
      <c r="AD31" s="130"/>
      <c r="AE31" s="130"/>
      <c r="AF31" s="130"/>
      <c r="AG31" s="130"/>
      <c r="AH31" s="130"/>
      <c r="AI31" s="130"/>
      <c r="AJ31" s="143"/>
      <c r="AK31" s="102" t="str">
        <f>IF(ISBLANK($L$31)=TRUE,"","円")</f>
        <v/>
      </c>
      <c r="AL31" s="153"/>
    </row>
    <row r="32" spans="1:38" s="2" customFormat="1" ht="15" customHeight="1">
      <c r="A32" s="8" t="s">
        <v>48</v>
      </c>
      <c r="B32" s="28"/>
      <c r="C32" s="28"/>
      <c r="D32" s="28"/>
      <c r="E32" s="28"/>
      <c r="F32" s="47"/>
      <c r="G32" s="62" t="str">
        <f>IF(VLOOKUP($D$4,委託料一覧!A6:BI33,34,FALSE)=0,"",VLOOKUP($D$4,委託料一覧!A6:BI33,34,FALSE))</f>
        <v/>
      </c>
      <c r="H32" s="81"/>
      <c r="I32" s="81"/>
      <c r="J32" s="81"/>
      <c r="K32" s="104"/>
      <c r="L32" s="118"/>
      <c r="M32" s="118"/>
      <c r="N32" s="118"/>
      <c r="O32" s="118"/>
      <c r="P32" s="125"/>
      <c r="Q32" s="101" t="str">
        <f>IF($G$32="","",IF(ISBLANK($L$32)=TRUE,"","人"))</f>
        <v/>
      </c>
      <c r="R32" s="152"/>
      <c r="S32" s="163">
        <f>VLOOKUP($D$4,委託料一覧!$A$6:$BI$33,35,FALSE)</f>
        <v>0</v>
      </c>
      <c r="T32" s="176"/>
      <c r="U32" s="176"/>
      <c r="V32" s="176"/>
      <c r="W32" s="176"/>
      <c r="X32" s="176"/>
      <c r="Y32" s="176"/>
      <c r="Z32" s="176"/>
      <c r="AA32" s="101" t="str">
        <f>IF($S$32=0,"","円")</f>
        <v/>
      </c>
      <c r="AB32" s="152"/>
      <c r="AC32" s="165">
        <f t="shared" si="0"/>
        <v>0</v>
      </c>
      <c r="AD32" s="165"/>
      <c r="AE32" s="165"/>
      <c r="AF32" s="165"/>
      <c r="AG32" s="165"/>
      <c r="AH32" s="165"/>
      <c r="AI32" s="165"/>
      <c r="AJ32" s="163"/>
      <c r="AK32" s="101" t="str">
        <f>IF($G$32="","",IF(ISBLANK($L$32)=TRUE,"","円"))</f>
        <v/>
      </c>
      <c r="AL32" s="152"/>
    </row>
    <row r="33" spans="1:44" s="2" customFormat="1" ht="15" customHeight="1">
      <c r="A33" s="9"/>
      <c r="B33" s="29"/>
      <c r="C33" s="29"/>
      <c r="D33" s="29"/>
      <c r="E33" s="29"/>
      <c r="F33" s="48"/>
      <c r="G33" s="63" t="str">
        <f>IF(VLOOKUP($D$4,委託料一覧!A6:BI33,36,FALSE)=0,"",VLOOKUP($D$4,委託料一覧!A6:BI33,36,FALSE))</f>
        <v/>
      </c>
      <c r="H33" s="82"/>
      <c r="I33" s="82"/>
      <c r="J33" s="82"/>
      <c r="K33" s="105"/>
      <c r="L33" s="119"/>
      <c r="M33" s="119"/>
      <c r="N33" s="119"/>
      <c r="O33" s="119"/>
      <c r="P33" s="123"/>
      <c r="Q33" s="102" t="str">
        <f>IF(ISBLANK($L$33)=TRUE,"","人")</f>
        <v/>
      </c>
      <c r="R33" s="153"/>
      <c r="S33" s="143">
        <f>VLOOKUP($D$4,委託料一覧!$A$6:$BI$33,37,FALSE)</f>
        <v>0</v>
      </c>
      <c r="T33" s="177"/>
      <c r="U33" s="177"/>
      <c r="V33" s="177"/>
      <c r="W33" s="177"/>
      <c r="X33" s="177"/>
      <c r="Y33" s="177"/>
      <c r="Z33" s="177"/>
      <c r="AA33" s="102" t="str">
        <f>IF($S$33=0,"","円")</f>
        <v/>
      </c>
      <c r="AB33" s="153"/>
      <c r="AC33" s="130">
        <f t="shared" si="0"/>
        <v>0</v>
      </c>
      <c r="AD33" s="130"/>
      <c r="AE33" s="130"/>
      <c r="AF33" s="130"/>
      <c r="AG33" s="130"/>
      <c r="AH33" s="130"/>
      <c r="AI33" s="130"/>
      <c r="AJ33" s="143"/>
      <c r="AK33" s="102" t="str">
        <f>IF(ISBLANK($L$33)=TRUE,"","円")</f>
        <v/>
      </c>
      <c r="AL33" s="153"/>
    </row>
    <row r="34" spans="1:44" s="2" customFormat="1" ht="15" customHeight="1">
      <c r="A34" s="10" t="s">
        <v>26</v>
      </c>
      <c r="B34" s="30"/>
      <c r="C34" s="30"/>
      <c r="D34" s="30"/>
      <c r="E34" s="30"/>
      <c r="F34" s="30"/>
      <c r="G34" s="30"/>
      <c r="H34" s="30"/>
      <c r="I34" s="30"/>
      <c r="J34" s="30"/>
      <c r="K34" s="103"/>
      <c r="L34" s="120"/>
      <c r="M34" s="120"/>
      <c r="N34" s="120"/>
      <c r="O34" s="120"/>
      <c r="P34" s="74"/>
      <c r="Q34" s="57" t="str">
        <f>IF(ISBLANK($L$34)=TRUE,"","人")</f>
        <v/>
      </c>
      <c r="R34" s="117"/>
      <c r="S34" s="164">
        <f>VLOOKUP($D$4,委託料一覧!$A$6:$BI$33,38,FALSE)</f>
        <v>0</v>
      </c>
      <c r="T34" s="178"/>
      <c r="U34" s="178"/>
      <c r="V34" s="178"/>
      <c r="W34" s="178"/>
      <c r="X34" s="178"/>
      <c r="Y34" s="178"/>
      <c r="Z34" s="178"/>
      <c r="AA34" s="57" t="str">
        <f>IF($S$34=0,"","円")</f>
        <v/>
      </c>
      <c r="AB34" s="117"/>
      <c r="AC34" s="198">
        <f t="shared" si="0"/>
        <v>0</v>
      </c>
      <c r="AD34" s="198"/>
      <c r="AE34" s="198"/>
      <c r="AF34" s="198"/>
      <c r="AG34" s="198"/>
      <c r="AH34" s="198"/>
      <c r="AI34" s="198"/>
      <c r="AJ34" s="164"/>
      <c r="AK34" s="57" t="str">
        <f>IF(ISBLANK($L$34)=TRUE,"","円")</f>
        <v/>
      </c>
      <c r="AL34" s="117"/>
    </row>
    <row r="35" spans="1:44" s="2" customFormat="1" ht="15" customHeight="1">
      <c r="A35" s="10" t="s">
        <v>10</v>
      </c>
      <c r="B35" s="30"/>
      <c r="C35" s="30"/>
      <c r="D35" s="30"/>
      <c r="E35" s="30"/>
      <c r="F35" s="30"/>
      <c r="G35" s="30"/>
      <c r="H35" s="30"/>
      <c r="I35" s="30"/>
      <c r="J35" s="30"/>
      <c r="K35" s="103"/>
      <c r="L35" s="120"/>
      <c r="M35" s="120"/>
      <c r="N35" s="120"/>
      <c r="O35" s="120"/>
      <c r="P35" s="74"/>
      <c r="Q35" s="57" t="str">
        <f>IF(ISBLANK($L$35)=TRUE,"","人")</f>
        <v/>
      </c>
      <c r="R35" s="117"/>
      <c r="S35" s="164">
        <f>VLOOKUP($D$4,委託料一覧!$A$6:$BI$33,39,FALSE)</f>
        <v>0</v>
      </c>
      <c r="T35" s="178"/>
      <c r="U35" s="178"/>
      <c r="V35" s="178"/>
      <c r="W35" s="178"/>
      <c r="X35" s="178"/>
      <c r="Y35" s="178"/>
      <c r="Z35" s="178"/>
      <c r="AA35" s="57" t="str">
        <f>IF($S$35=0,"","円")</f>
        <v/>
      </c>
      <c r="AB35" s="117"/>
      <c r="AC35" s="198">
        <f t="shared" si="0"/>
        <v>0</v>
      </c>
      <c r="AD35" s="198"/>
      <c r="AE35" s="198"/>
      <c r="AF35" s="198"/>
      <c r="AG35" s="198"/>
      <c r="AH35" s="198"/>
      <c r="AI35" s="198"/>
      <c r="AJ35" s="164"/>
      <c r="AK35" s="57" t="str">
        <f>IF(ISBLANK($L$35)=TRUE,"","円")</f>
        <v/>
      </c>
      <c r="AL35" s="117"/>
    </row>
    <row r="36" spans="1:44" s="2" customFormat="1" ht="15" customHeight="1">
      <c r="A36" s="10" t="s">
        <v>31</v>
      </c>
      <c r="B36" s="30"/>
      <c r="C36" s="30"/>
      <c r="D36" s="30"/>
      <c r="E36" s="30"/>
      <c r="F36" s="30"/>
      <c r="G36" s="30"/>
      <c r="H36" s="30"/>
      <c r="I36" s="30"/>
      <c r="J36" s="30"/>
      <c r="K36" s="103"/>
      <c r="L36" s="120"/>
      <c r="M36" s="120"/>
      <c r="N36" s="120"/>
      <c r="O36" s="120"/>
      <c r="P36" s="74"/>
      <c r="Q36" s="57" t="str">
        <f>IF(ISBLANK($L$36)=TRUE,"","人")</f>
        <v/>
      </c>
      <c r="R36" s="117"/>
      <c r="S36" s="164">
        <f>VLOOKUP($D$4,委託料一覧!$A$6:$BI$33,40,FALSE)</f>
        <v>0</v>
      </c>
      <c r="T36" s="178"/>
      <c r="U36" s="178"/>
      <c r="V36" s="178"/>
      <c r="W36" s="178"/>
      <c r="X36" s="178"/>
      <c r="Y36" s="178"/>
      <c r="Z36" s="178"/>
      <c r="AA36" s="57" t="str">
        <f>IF($S$36=0,"","円")</f>
        <v/>
      </c>
      <c r="AB36" s="117"/>
      <c r="AC36" s="198">
        <f t="shared" si="0"/>
        <v>0</v>
      </c>
      <c r="AD36" s="198"/>
      <c r="AE36" s="198"/>
      <c r="AF36" s="198"/>
      <c r="AG36" s="198"/>
      <c r="AH36" s="198"/>
      <c r="AI36" s="198"/>
      <c r="AJ36" s="164"/>
      <c r="AK36" s="57" t="str">
        <f>IF(ISBLANK($L$36)=TRUE,"","円")</f>
        <v/>
      </c>
      <c r="AL36" s="117"/>
    </row>
    <row r="37" spans="1:44" s="2" customFormat="1" ht="15" customHeight="1">
      <c r="A37" s="13" t="s">
        <v>144</v>
      </c>
      <c r="B37" s="13"/>
      <c r="C37" s="13"/>
      <c r="D37" s="13"/>
      <c r="E37" s="13"/>
      <c r="F37" s="13"/>
      <c r="G37" s="64" t="str">
        <f>委託料一覧!AO5</f>
        <v>２価</v>
      </c>
      <c r="H37" s="83"/>
      <c r="I37" s="83"/>
      <c r="J37" s="83"/>
      <c r="K37" s="106"/>
      <c r="L37" s="121"/>
      <c r="M37" s="121"/>
      <c r="N37" s="121"/>
      <c r="O37" s="121"/>
      <c r="P37" s="138"/>
      <c r="Q37" s="145" t="str">
        <f>IF(ISBLANK($L$37)=TRUE,"","人")</f>
        <v/>
      </c>
      <c r="R37" s="154"/>
      <c r="S37" s="166">
        <f>VLOOKUP($D$4,委託料一覧!$A$6:$BI$33,41,FALSE)</f>
        <v>0</v>
      </c>
      <c r="T37" s="179"/>
      <c r="U37" s="179"/>
      <c r="V37" s="179"/>
      <c r="W37" s="179"/>
      <c r="X37" s="179"/>
      <c r="Y37" s="179"/>
      <c r="Z37" s="179"/>
      <c r="AA37" s="145" t="str">
        <f>IF($S$37=0,"","円")</f>
        <v/>
      </c>
      <c r="AB37" s="154"/>
      <c r="AC37" s="199">
        <f t="shared" si="0"/>
        <v>0</v>
      </c>
      <c r="AD37" s="199"/>
      <c r="AE37" s="199"/>
      <c r="AF37" s="199"/>
      <c r="AG37" s="199"/>
      <c r="AH37" s="199"/>
      <c r="AI37" s="199"/>
      <c r="AJ37" s="166"/>
      <c r="AK37" s="145" t="str">
        <f>IF(ISBLANK($L$37)=TRUE,"","円")</f>
        <v/>
      </c>
      <c r="AL37" s="154"/>
    </row>
    <row r="38" spans="1:44" s="2" customFormat="1" ht="15" customHeight="1">
      <c r="A38" s="13"/>
      <c r="B38" s="13"/>
      <c r="C38" s="13"/>
      <c r="D38" s="13"/>
      <c r="E38" s="13"/>
      <c r="F38" s="13"/>
      <c r="G38" s="65" t="str">
        <f>委託料一覧!AP5</f>
        <v>４価</v>
      </c>
      <c r="H38" s="84"/>
      <c r="I38" s="84"/>
      <c r="J38" s="84"/>
      <c r="K38" s="107"/>
      <c r="L38" s="122"/>
      <c r="M38" s="132"/>
      <c r="N38" s="132"/>
      <c r="O38" s="132"/>
      <c r="P38" s="132"/>
      <c r="Q38" s="146" t="str">
        <f>IF(ISBLANK($L$38)=TRUE,"","人")</f>
        <v/>
      </c>
      <c r="R38" s="155"/>
      <c r="S38" s="167">
        <f>VLOOKUP($D$4,委託料一覧!$A$6:$BI$33,42,FALSE)</f>
        <v>0</v>
      </c>
      <c r="T38" s="180"/>
      <c r="U38" s="180"/>
      <c r="V38" s="180"/>
      <c r="W38" s="180"/>
      <c r="X38" s="180"/>
      <c r="Y38" s="180"/>
      <c r="Z38" s="180"/>
      <c r="AA38" s="146" t="str">
        <f>IF($S$37=0,"","円")</f>
        <v/>
      </c>
      <c r="AB38" s="155"/>
      <c r="AC38" s="200">
        <f t="shared" si="0"/>
        <v>0</v>
      </c>
      <c r="AD38" s="200"/>
      <c r="AE38" s="200"/>
      <c r="AF38" s="200"/>
      <c r="AG38" s="200"/>
      <c r="AH38" s="200"/>
      <c r="AI38" s="200"/>
      <c r="AJ38" s="167"/>
      <c r="AK38" s="146" t="str">
        <f>IF(ISBLANK($L$38)=TRUE,"","円")</f>
        <v/>
      </c>
      <c r="AL38" s="155"/>
    </row>
    <row r="39" spans="1:44" s="2" customFormat="1" ht="15" customHeight="1">
      <c r="A39" s="13"/>
      <c r="B39" s="13"/>
      <c r="C39" s="13"/>
      <c r="D39" s="13"/>
      <c r="E39" s="13"/>
      <c r="F39" s="13"/>
      <c r="G39" s="66" t="str">
        <f>委託料一覧!AQ5</f>
        <v>９価</v>
      </c>
      <c r="H39" s="85"/>
      <c r="I39" s="85"/>
      <c r="J39" s="85"/>
      <c r="K39" s="108"/>
      <c r="L39" s="123"/>
      <c r="M39" s="133"/>
      <c r="N39" s="133"/>
      <c r="O39" s="133"/>
      <c r="P39" s="133"/>
      <c r="Q39" s="102" t="str">
        <f>IF(ISBLANK($L$39)=TRUE,"","人")</f>
        <v/>
      </c>
      <c r="R39" s="153"/>
      <c r="S39" s="143">
        <f>VLOOKUP($D$4,委託料一覧!$A$6:$BI$33,43,FALSE)</f>
        <v>0</v>
      </c>
      <c r="T39" s="177"/>
      <c r="U39" s="177"/>
      <c r="V39" s="177"/>
      <c r="W39" s="177"/>
      <c r="X39" s="177"/>
      <c r="Y39" s="177"/>
      <c r="Z39" s="177"/>
      <c r="AA39" s="102" t="str">
        <f>IF($S$37=0,"","円")</f>
        <v/>
      </c>
      <c r="AB39" s="153"/>
      <c r="AC39" s="130">
        <f t="shared" si="0"/>
        <v>0</v>
      </c>
      <c r="AD39" s="130"/>
      <c r="AE39" s="130"/>
      <c r="AF39" s="130"/>
      <c r="AG39" s="130"/>
      <c r="AH39" s="130"/>
      <c r="AI39" s="130"/>
      <c r="AJ39" s="143"/>
      <c r="AK39" s="102" t="str">
        <f>IF(ISBLANK($L$39)=TRUE,"","円")</f>
        <v/>
      </c>
      <c r="AL39" s="153"/>
    </row>
    <row r="40" spans="1:44" s="2" customFormat="1" ht="15" customHeight="1">
      <c r="A40" s="10" t="s">
        <v>66</v>
      </c>
      <c r="B40" s="30"/>
      <c r="C40" s="30"/>
      <c r="D40" s="30"/>
      <c r="E40" s="30"/>
      <c r="F40" s="30"/>
      <c r="G40" s="30"/>
      <c r="H40" s="30"/>
      <c r="I40" s="30"/>
      <c r="J40" s="30"/>
      <c r="K40" s="103"/>
      <c r="L40" s="120"/>
      <c r="M40" s="120"/>
      <c r="N40" s="120"/>
      <c r="O40" s="120"/>
      <c r="P40" s="74"/>
      <c r="Q40" s="57" t="str">
        <f>IF(ISBLANK($L$40)=TRUE,"","人")</f>
        <v/>
      </c>
      <c r="R40" s="117"/>
      <c r="S40" s="164">
        <f>VLOOKUP($D$4,委託料一覧!$A$6:$BI$33,44,FALSE)</f>
        <v>0</v>
      </c>
      <c r="T40" s="178"/>
      <c r="U40" s="178"/>
      <c r="V40" s="178"/>
      <c r="W40" s="178"/>
      <c r="X40" s="178"/>
      <c r="Y40" s="178"/>
      <c r="Z40" s="178"/>
      <c r="AA40" s="57" t="str">
        <f>IF($S$37=0,"","円")</f>
        <v/>
      </c>
      <c r="AB40" s="117"/>
      <c r="AC40" s="198">
        <f t="shared" si="0"/>
        <v>0</v>
      </c>
      <c r="AD40" s="198"/>
      <c r="AE40" s="198"/>
      <c r="AF40" s="198"/>
      <c r="AG40" s="198"/>
      <c r="AH40" s="198"/>
      <c r="AI40" s="198"/>
      <c r="AJ40" s="164"/>
      <c r="AK40" s="57" t="str">
        <f>IF(ISBLANK($L$40)=TRUE,"","円")</f>
        <v/>
      </c>
      <c r="AL40" s="117"/>
    </row>
    <row r="41" spans="1:44" s="2" customFormat="1" ht="15" customHeight="1">
      <c r="A41" s="8" t="s">
        <v>95</v>
      </c>
      <c r="B41" s="31"/>
      <c r="C41" s="31"/>
      <c r="D41" s="31"/>
      <c r="E41" s="31"/>
      <c r="F41" s="31"/>
      <c r="G41" s="31"/>
      <c r="H41" s="31"/>
      <c r="I41" s="31"/>
      <c r="J41" s="31"/>
      <c r="K41" s="49"/>
      <c r="L41" s="120"/>
      <c r="M41" s="120"/>
      <c r="N41" s="120"/>
      <c r="O41" s="120"/>
      <c r="P41" s="74"/>
      <c r="Q41" s="57" t="str">
        <f>IF(G41="","",IF(ISBLANK($L$41)=TRUE,"","人"))</f>
        <v/>
      </c>
      <c r="R41" s="117"/>
      <c r="S41" s="164">
        <f>VLOOKUP($D$4,委託料一覧!$A$6:$BI$33,45,FALSE)</f>
        <v>0</v>
      </c>
      <c r="T41" s="178"/>
      <c r="U41" s="178"/>
      <c r="V41" s="178"/>
      <c r="W41" s="178"/>
      <c r="X41" s="178"/>
      <c r="Y41" s="178"/>
      <c r="Z41" s="178"/>
      <c r="AA41" s="57" t="str">
        <f>IF($S$37=0,"","円")</f>
        <v/>
      </c>
      <c r="AB41" s="117"/>
      <c r="AC41" s="198">
        <f t="shared" si="0"/>
        <v>0</v>
      </c>
      <c r="AD41" s="198"/>
      <c r="AE41" s="198"/>
      <c r="AF41" s="198"/>
      <c r="AG41" s="198"/>
      <c r="AH41" s="198"/>
      <c r="AI41" s="198"/>
      <c r="AJ41" s="164"/>
      <c r="AK41" s="57" t="str">
        <f>IF($G$41="","",IF(ISBLANK($L$41)=TRUE,"","円"))</f>
        <v/>
      </c>
      <c r="AL41" s="117"/>
      <c r="AP41" s="1"/>
      <c r="AQ41" s="1"/>
      <c r="AR41" s="1"/>
    </row>
    <row r="42" spans="1:44" s="2" customFormat="1" ht="15" customHeight="1">
      <c r="A42" s="8" t="s">
        <v>52</v>
      </c>
      <c r="B42" s="28"/>
      <c r="C42" s="28"/>
      <c r="D42" s="28"/>
      <c r="E42" s="28"/>
      <c r="F42" s="47"/>
      <c r="G42" s="67" t="str">
        <f>委託料一覧!AT5</f>
        <v>1価</v>
      </c>
      <c r="H42" s="86"/>
      <c r="I42" s="86"/>
      <c r="J42" s="86"/>
      <c r="K42" s="109"/>
      <c r="L42" s="124"/>
      <c r="M42" s="124"/>
      <c r="N42" s="124"/>
      <c r="O42" s="124"/>
      <c r="P42" s="139"/>
      <c r="Q42" s="109" t="str">
        <f>IF(ISBLANK($L$42)=TRUE,"","人")</f>
        <v/>
      </c>
      <c r="R42" s="156"/>
      <c r="S42" s="168">
        <f>VLOOKUP($D$4,委託料一覧!$A$6:$BI$33,46,FALSE)</f>
        <v>0</v>
      </c>
      <c r="T42" s="181"/>
      <c r="U42" s="181"/>
      <c r="V42" s="181"/>
      <c r="W42" s="181"/>
      <c r="X42" s="181"/>
      <c r="Y42" s="181"/>
      <c r="Z42" s="181"/>
      <c r="AA42" s="109" t="str">
        <f>IF($S$42=0,"","円")</f>
        <v/>
      </c>
      <c r="AB42" s="156"/>
      <c r="AC42" s="201">
        <f t="shared" si="0"/>
        <v>0</v>
      </c>
      <c r="AD42" s="201"/>
      <c r="AE42" s="201"/>
      <c r="AF42" s="201"/>
      <c r="AG42" s="201"/>
      <c r="AH42" s="201"/>
      <c r="AI42" s="201"/>
      <c r="AJ42" s="168"/>
      <c r="AK42" s="109" t="str">
        <f>IF($G$21="","",IF(ISBLANK($L$21)=TRUE,"","円"))</f>
        <v/>
      </c>
      <c r="AL42" s="156"/>
      <c r="AO42" s="219"/>
    </row>
    <row r="43" spans="1:44" s="2" customFormat="1" ht="15" customHeight="1">
      <c r="A43" s="9"/>
      <c r="B43" s="29"/>
      <c r="C43" s="29"/>
      <c r="D43" s="29"/>
      <c r="E43" s="29"/>
      <c r="F43" s="48"/>
      <c r="G43" s="61" t="str">
        <f>委託料一覧!AU5</f>
        <v>5価</v>
      </c>
      <c r="H43" s="80"/>
      <c r="I43" s="80"/>
      <c r="J43" s="80"/>
      <c r="K43" s="102"/>
      <c r="L43" s="119"/>
      <c r="M43" s="119"/>
      <c r="N43" s="119"/>
      <c r="O43" s="119"/>
      <c r="P43" s="123"/>
      <c r="Q43" s="102" t="str">
        <f>IF(ISBLANK($L$43)=TRUE,"","人")</f>
        <v/>
      </c>
      <c r="R43" s="153"/>
      <c r="S43" s="143">
        <f>VLOOKUP($D$4,委託料一覧!$A$6:$BI$33,47,FALSE)</f>
        <v>0</v>
      </c>
      <c r="T43" s="177"/>
      <c r="U43" s="177"/>
      <c r="V43" s="177"/>
      <c r="W43" s="177"/>
      <c r="X43" s="177"/>
      <c r="Y43" s="177"/>
      <c r="Z43" s="177"/>
      <c r="AA43" s="102" t="str">
        <f>IF($S$43=0,"","円")</f>
        <v/>
      </c>
      <c r="AB43" s="153"/>
      <c r="AC43" s="130">
        <f t="shared" si="0"/>
        <v>0</v>
      </c>
      <c r="AD43" s="130"/>
      <c r="AE43" s="130"/>
      <c r="AF43" s="130"/>
      <c r="AG43" s="130"/>
      <c r="AH43" s="130"/>
      <c r="AI43" s="130"/>
      <c r="AJ43" s="143"/>
      <c r="AK43" s="102" t="str">
        <f>IF(ISBLANK($L$22)=TRUE,"","円")</f>
        <v/>
      </c>
      <c r="AL43" s="153"/>
      <c r="AO43" s="219"/>
    </row>
    <row r="44" spans="1:44" s="2" customFormat="1" ht="15" customHeight="1">
      <c r="A44" s="8" t="s">
        <v>33</v>
      </c>
      <c r="B44" s="31"/>
      <c r="C44" s="31"/>
      <c r="D44" s="31"/>
      <c r="E44" s="31"/>
      <c r="F44" s="49"/>
      <c r="G44" s="62" t="s">
        <v>102</v>
      </c>
      <c r="H44" s="81"/>
      <c r="I44" s="81"/>
      <c r="J44" s="81"/>
      <c r="K44" s="104"/>
      <c r="L44" s="125"/>
      <c r="M44" s="134"/>
      <c r="N44" s="134"/>
      <c r="O44" s="134"/>
      <c r="P44" s="134"/>
      <c r="Q44" s="79" t="str">
        <f>IF(G44="","",IF(ISBLANK(L44)=TRUE,"","人"))</f>
        <v/>
      </c>
      <c r="R44" s="101"/>
      <c r="S44" s="169"/>
      <c r="T44" s="182"/>
      <c r="U44" s="182"/>
      <c r="V44" s="182"/>
      <c r="W44" s="182"/>
      <c r="X44" s="182"/>
      <c r="Y44" s="182"/>
      <c r="Z44" s="182"/>
      <c r="AA44" s="79" t="str">
        <f>IF($S$44=0,"","円")</f>
        <v/>
      </c>
      <c r="AB44" s="101"/>
      <c r="AC44" s="163">
        <f t="shared" si="0"/>
        <v>0</v>
      </c>
      <c r="AD44" s="176"/>
      <c r="AE44" s="176"/>
      <c r="AF44" s="176"/>
      <c r="AG44" s="176"/>
      <c r="AH44" s="176"/>
      <c r="AI44" s="176"/>
      <c r="AJ44" s="176"/>
      <c r="AK44" s="79" t="str">
        <f>IF(G44="","",IF(ISBLANK(L44)=TRUE,"","円"))</f>
        <v/>
      </c>
      <c r="AL44" s="101"/>
    </row>
    <row r="45" spans="1:44" s="2" customFormat="1" ht="15" customHeight="1">
      <c r="A45" s="11"/>
      <c r="B45" s="32"/>
      <c r="C45" s="32"/>
      <c r="D45" s="32"/>
      <c r="E45" s="32"/>
      <c r="F45" s="50"/>
      <c r="G45" s="68" t="str">
        <f>IF(VLOOKUP(D4,委託料一覧!A6:BI33,48,FALSE)=0,"",VLOOKUP(D4,委託料一覧!A6:BI33,48,FALSE))</f>
        <v/>
      </c>
      <c r="H45" s="87"/>
      <c r="I45" s="87"/>
      <c r="J45" s="87"/>
      <c r="K45" s="110"/>
      <c r="L45" s="126"/>
      <c r="M45" s="126"/>
      <c r="N45" s="126"/>
      <c r="O45" s="126"/>
      <c r="P45" s="122"/>
      <c r="Q45" s="146" t="str">
        <f>IF(G45="","",IF(ISBLANK(L45)=TRUE,"","人"))</f>
        <v/>
      </c>
      <c r="R45" s="155"/>
      <c r="S45" s="167">
        <f>VLOOKUP(D4,委託料一覧!A6:BI33,49,FALSE)</f>
        <v>0</v>
      </c>
      <c r="T45" s="180"/>
      <c r="U45" s="180"/>
      <c r="V45" s="180"/>
      <c r="W45" s="180"/>
      <c r="X45" s="180"/>
      <c r="Y45" s="180"/>
      <c r="Z45" s="180"/>
      <c r="AA45" s="146" t="str">
        <f>IF(S45=0,"","円")</f>
        <v/>
      </c>
      <c r="AB45" s="155"/>
      <c r="AC45" s="200">
        <f t="shared" si="0"/>
        <v>0</v>
      </c>
      <c r="AD45" s="200"/>
      <c r="AE45" s="200"/>
      <c r="AF45" s="200"/>
      <c r="AG45" s="200"/>
      <c r="AH45" s="200"/>
      <c r="AI45" s="200"/>
      <c r="AJ45" s="167"/>
      <c r="AK45" s="146" t="str">
        <f>IF(G45="","",IF(ISBLANK(L45)=TRUE,"","円"))</f>
        <v/>
      </c>
      <c r="AL45" s="155"/>
    </row>
    <row r="46" spans="1:44" s="2" customFormat="1" ht="15" customHeight="1">
      <c r="A46" s="12"/>
      <c r="B46" s="33"/>
      <c r="C46" s="33"/>
      <c r="D46" s="33"/>
      <c r="E46" s="33"/>
      <c r="F46" s="51"/>
      <c r="G46" s="63" t="str">
        <f>IF(VLOOKUP(D4,委託料一覧!A6:BI33,50,FALSE)=0,"",VLOOKUP(D4,委託料一覧!A6:BI33,50,FALSE))</f>
        <v/>
      </c>
      <c r="H46" s="82"/>
      <c r="I46" s="82"/>
      <c r="J46" s="82"/>
      <c r="K46" s="105"/>
      <c r="L46" s="119"/>
      <c r="M46" s="119"/>
      <c r="N46" s="119"/>
      <c r="O46" s="119"/>
      <c r="P46" s="123"/>
      <c r="Q46" s="102" t="str">
        <f>IF(ISBLANK(L46)=TRUE,"","人")</f>
        <v/>
      </c>
      <c r="R46" s="153"/>
      <c r="S46" s="143">
        <f>VLOOKUP(D4,委託料一覧!A6:BI33,51,FALSE)</f>
        <v>0</v>
      </c>
      <c r="T46" s="177"/>
      <c r="U46" s="177"/>
      <c r="V46" s="177"/>
      <c r="W46" s="177"/>
      <c r="X46" s="177"/>
      <c r="Y46" s="177"/>
      <c r="Z46" s="177"/>
      <c r="AA46" s="102" t="str">
        <f>IF($S$46=0,"","円")</f>
        <v/>
      </c>
      <c r="AB46" s="153"/>
      <c r="AC46" s="130">
        <f t="shared" si="0"/>
        <v>0</v>
      </c>
      <c r="AD46" s="130"/>
      <c r="AE46" s="130"/>
      <c r="AF46" s="130"/>
      <c r="AG46" s="130"/>
      <c r="AH46" s="130"/>
      <c r="AI46" s="130"/>
      <c r="AJ46" s="143"/>
      <c r="AK46" s="102" t="str">
        <f>IF(ISBLANK(L46)=TRUE,"","円")</f>
        <v/>
      </c>
      <c r="AL46" s="153"/>
    </row>
    <row r="47" spans="1:44" s="2" customFormat="1" ht="15" customHeight="1">
      <c r="A47" s="14" t="s">
        <v>27</v>
      </c>
      <c r="B47" s="34"/>
      <c r="C47" s="34"/>
      <c r="D47" s="34"/>
      <c r="E47" s="34"/>
      <c r="F47" s="52"/>
      <c r="G47" s="62" t="s">
        <v>102</v>
      </c>
      <c r="H47" s="81"/>
      <c r="I47" s="81"/>
      <c r="J47" s="81"/>
      <c r="K47" s="104"/>
      <c r="L47" s="125"/>
      <c r="M47" s="134"/>
      <c r="N47" s="134"/>
      <c r="O47" s="134"/>
      <c r="P47" s="134"/>
      <c r="Q47" s="79" t="str">
        <f>IF(G47="","",IF(ISBLANK(L47)=TRUE,"","人"))</f>
        <v/>
      </c>
      <c r="R47" s="101"/>
      <c r="S47" s="169"/>
      <c r="T47" s="182"/>
      <c r="U47" s="182"/>
      <c r="V47" s="182"/>
      <c r="W47" s="182"/>
      <c r="X47" s="182"/>
      <c r="Y47" s="182"/>
      <c r="Z47" s="182"/>
      <c r="AA47" s="79" t="str">
        <f>IF($S$47=0,"","円")</f>
        <v/>
      </c>
      <c r="AB47" s="101"/>
      <c r="AC47" s="163">
        <f t="shared" si="0"/>
        <v>0</v>
      </c>
      <c r="AD47" s="176"/>
      <c r="AE47" s="176"/>
      <c r="AF47" s="176"/>
      <c r="AG47" s="176"/>
      <c r="AH47" s="176"/>
      <c r="AI47" s="176"/>
      <c r="AJ47" s="176"/>
      <c r="AK47" s="79" t="str">
        <f>IF(G47="","",IF(ISBLANK(L47)=TRUE,"","円"))</f>
        <v/>
      </c>
      <c r="AL47" s="101"/>
    </row>
    <row r="48" spans="1:44" s="2" customFormat="1" ht="15" customHeight="1">
      <c r="A48" s="15"/>
      <c r="B48" s="35"/>
      <c r="C48" s="35"/>
      <c r="D48" s="35"/>
      <c r="E48" s="35"/>
      <c r="F48" s="53"/>
      <c r="G48" s="68" t="str">
        <f>IF(VLOOKUP(D4,委託料一覧!A6:BI33,52,FALSE)=0,"",VLOOKUP(D4,委託料一覧!A6:BI33,52,FALSE))</f>
        <v/>
      </c>
      <c r="H48" s="88"/>
      <c r="I48" s="88"/>
      <c r="J48" s="88"/>
      <c r="K48" s="111"/>
      <c r="L48" s="127"/>
      <c r="M48" s="127"/>
      <c r="N48" s="127"/>
      <c r="O48" s="127"/>
      <c r="P48" s="140"/>
      <c r="Q48" s="147" t="str">
        <f>IF(G45="","",IF(ISBLANK(L45)=TRUE,"","人"))</f>
        <v/>
      </c>
      <c r="R48" s="157"/>
      <c r="S48" s="170">
        <f>VLOOKUP(D4,委託料一覧!A6:BI33,53,FALSE)</f>
        <v>0</v>
      </c>
      <c r="T48" s="183"/>
      <c r="U48" s="183"/>
      <c r="V48" s="183"/>
      <c r="W48" s="183"/>
      <c r="X48" s="183"/>
      <c r="Y48" s="183"/>
      <c r="Z48" s="183"/>
      <c r="AA48" s="147" t="str">
        <f>IF(S48=0,"","円")</f>
        <v/>
      </c>
      <c r="AB48" s="157"/>
      <c r="AC48" s="202">
        <f t="shared" si="0"/>
        <v>0</v>
      </c>
      <c r="AD48" s="202"/>
      <c r="AE48" s="202"/>
      <c r="AF48" s="202"/>
      <c r="AG48" s="202"/>
      <c r="AH48" s="202"/>
      <c r="AI48" s="202"/>
      <c r="AJ48" s="170"/>
      <c r="AK48" s="147" t="str">
        <f>IF(G48="","",IF(ISBLANK(L48)=TRUE,"","円"))</f>
        <v/>
      </c>
      <c r="AL48" s="157"/>
    </row>
    <row r="49" spans="1:40" s="2" customFormat="1" ht="15" customHeight="1">
      <c r="A49" s="16"/>
      <c r="B49" s="36"/>
      <c r="C49" s="36"/>
      <c r="D49" s="36"/>
      <c r="E49" s="36"/>
      <c r="F49" s="54"/>
      <c r="G49" s="63" t="str">
        <f>IF(VLOOKUP(D4,委託料一覧!A6:BI33,54,FALSE)=0,"",VLOOKUP(D4,委託料一覧!A6:BI33,54,FALSE))</f>
        <v/>
      </c>
      <c r="H49" s="89"/>
      <c r="I49" s="89"/>
      <c r="J49" s="89"/>
      <c r="K49" s="112"/>
      <c r="L49" s="128"/>
      <c r="M49" s="128"/>
      <c r="N49" s="128"/>
      <c r="O49" s="128"/>
      <c r="P49" s="141"/>
      <c r="Q49" s="148" t="str">
        <f>IF(ISBLANK(L49)=TRUE,"","人")</f>
        <v/>
      </c>
      <c r="R49" s="158"/>
      <c r="S49" s="171">
        <f>VLOOKUP(D4,委託料一覧!A6:BI33,55,FALSE)</f>
        <v>0</v>
      </c>
      <c r="T49" s="184"/>
      <c r="U49" s="184"/>
      <c r="V49" s="184"/>
      <c r="W49" s="184"/>
      <c r="X49" s="184"/>
      <c r="Y49" s="184"/>
      <c r="Z49" s="184"/>
      <c r="AA49" s="148" t="str">
        <f>IF($S$49=0,"","円")</f>
        <v/>
      </c>
      <c r="AB49" s="158"/>
      <c r="AC49" s="203">
        <f t="shared" si="0"/>
        <v>0</v>
      </c>
      <c r="AD49" s="203"/>
      <c r="AE49" s="203"/>
      <c r="AF49" s="203"/>
      <c r="AG49" s="203"/>
      <c r="AH49" s="203"/>
      <c r="AI49" s="203"/>
      <c r="AJ49" s="171"/>
      <c r="AK49" s="148" t="str">
        <f>IF(ISBLANK(L49)=TRUE,"","円")</f>
        <v/>
      </c>
      <c r="AL49" s="158"/>
    </row>
    <row r="50" spans="1:40" s="2" customFormat="1" ht="15" customHeight="1">
      <c r="A50" s="8" t="s">
        <v>16</v>
      </c>
      <c r="B50" s="28"/>
      <c r="C50" s="28"/>
      <c r="D50" s="28"/>
      <c r="E50" s="28"/>
      <c r="F50" s="47"/>
      <c r="G50" s="69" t="str">
        <f>IF(VLOOKUP(D4,委託料一覧!A6:BI33,56,FALSE)=0,"",VLOOKUP(D4,委託料一覧!A6:BI33,56,FALSE))</f>
        <v/>
      </c>
      <c r="H50" s="90"/>
      <c r="I50" s="90"/>
      <c r="J50" s="90"/>
      <c r="K50" s="113"/>
      <c r="L50" s="121"/>
      <c r="M50" s="121"/>
      <c r="N50" s="121"/>
      <c r="O50" s="121"/>
      <c r="P50" s="138"/>
      <c r="Q50" s="145" t="str">
        <f>IF(G50="","",IF(ISBLANK(L50)=TRUE,"","人"))</f>
        <v/>
      </c>
      <c r="R50" s="154"/>
      <c r="S50" s="166">
        <f>VLOOKUP(D4,委託料一覧!A6:BI33,57,FALSE)</f>
        <v>0</v>
      </c>
      <c r="T50" s="179"/>
      <c r="U50" s="179"/>
      <c r="V50" s="179"/>
      <c r="W50" s="179"/>
      <c r="X50" s="179"/>
      <c r="Y50" s="179"/>
      <c r="Z50" s="179"/>
      <c r="AA50" s="145" t="str">
        <f>IF(S50=0,"","円")</f>
        <v/>
      </c>
      <c r="AB50" s="154"/>
      <c r="AC50" s="199">
        <f t="shared" si="0"/>
        <v>0</v>
      </c>
      <c r="AD50" s="199"/>
      <c r="AE50" s="199"/>
      <c r="AF50" s="199"/>
      <c r="AG50" s="199"/>
      <c r="AH50" s="199"/>
      <c r="AI50" s="199"/>
      <c r="AJ50" s="166"/>
      <c r="AK50" s="145" t="str">
        <f>IF(G50="","",IF(ISBLANK(L50)=TRUE,"","円"))</f>
        <v/>
      </c>
      <c r="AL50" s="154"/>
    </row>
    <row r="51" spans="1:40" s="2" customFormat="1" ht="15" customHeight="1">
      <c r="A51" s="9"/>
      <c r="B51" s="29"/>
      <c r="C51" s="29"/>
      <c r="D51" s="29"/>
      <c r="E51" s="29"/>
      <c r="F51" s="48"/>
      <c r="G51" s="70" t="str">
        <f>IF(VLOOKUP($D$4,委託料一覧!A6:BI33,58,FALSE)=0,"",VLOOKUP($D$4,委託料一覧!A6:BI33,58,FALSE))</f>
        <v/>
      </c>
      <c r="H51" s="91"/>
      <c r="I51" s="91"/>
      <c r="J51" s="91"/>
      <c r="K51" s="114"/>
      <c r="L51" s="129"/>
      <c r="M51" s="129"/>
      <c r="N51" s="129"/>
      <c r="O51" s="129"/>
      <c r="P51" s="142"/>
      <c r="Q51" s="149" t="str">
        <f>IF(G51="無し","",IF(ISBLANK(L51)=TRUE,"","人"))</f>
        <v/>
      </c>
      <c r="R51" s="159"/>
      <c r="S51" s="172">
        <f>VLOOKUP(D4,委託料一覧!A6:BI33,59,FALSE)</f>
        <v>0</v>
      </c>
      <c r="T51" s="185"/>
      <c r="U51" s="185"/>
      <c r="V51" s="185"/>
      <c r="W51" s="185"/>
      <c r="X51" s="185"/>
      <c r="Y51" s="185"/>
      <c r="Z51" s="185"/>
      <c r="AA51" s="160" t="str">
        <f>IF(S51=0,"","円")</f>
        <v/>
      </c>
      <c r="AB51" s="149"/>
      <c r="AC51" s="204">
        <f t="shared" si="0"/>
        <v>0</v>
      </c>
      <c r="AD51" s="204"/>
      <c r="AE51" s="204"/>
      <c r="AF51" s="204"/>
      <c r="AG51" s="204"/>
      <c r="AH51" s="204"/>
      <c r="AI51" s="204"/>
      <c r="AJ51" s="172"/>
      <c r="AK51" s="149" t="str">
        <f>IF(G51="無し","",IF(ISBLANK(L51)=TRUE,"","円"))</f>
        <v/>
      </c>
      <c r="AL51" s="159"/>
    </row>
    <row r="52" spans="1:40" s="2" customFormat="1" ht="15" customHeight="1">
      <c r="A52" s="17" t="s">
        <v>98</v>
      </c>
      <c r="B52" s="37"/>
      <c r="C52" s="37"/>
      <c r="D52" s="37"/>
      <c r="E52" s="37"/>
      <c r="F52" s="37"/>
      <c r="G52" s="37"/>
      <c r="H52" s="37"/>
      <c r="I52" s="37"/>
      <c r="J52" s="37"/>
      <c r="K52" s="115"/>
      <c r="L52" s="130">
        <f>SUM(L16:P51)</f>
        <v>0</v>
      </c>
      <c r="M52" s="130"/>
      <c r="N52" s="130"/>
      <c r="O52" s="130"/>
      <c r="P52" s="143"/>
      <c r="Q52" s="102" t="str">
        <f>IF($L$52=0,"","人")</f>
        <v/>
      </c>
      <c r="R52" s="153"/>
      <c r="S52" s="173"/>
      <c r="T52" s="186"/>
      <c r="U52" s="186"/>
      <c r="V52" s="186"/>
      <c r="W52" s="186"/>
      <c r="X52" s="186"/>
      <c r="Y52" s="186"/>
      <c r="Z52" s="186"/>
      <c r="AA52" s="186"/>
      <c r="AB52" s="196"/>
      <c r="AC52" s="205">
        <f>SUM(AC16:AJ51)</f>
        <v>0</v>
      </c>
      <c r="AD52" s="205"/>
      <c r="AE52" s="205"/>
      <c r="AF52" s="205"/>
      <c r="AG52" s="205"/>
      <c r="AH52" s="205"/>
      <c r="AI52" s="205"/>
      <c r="AJ52" s="208"/>
      <c r="AK52" s="102" t="str">
        <f>IF(AC52=0,"","円")</f>
        <v/>
      </c>
      <c r="AL52" s="153"/>
    </row>
    <row r="53" spans="1:40" s="2" customFormat="1" ht="15" customHeight="1">
      <c r="A53" s="18" t="s">
        <v>351</v>
      </c>
      <c r="B53" s="38"/>
      <c r="C53" s="38"/>
      <c r="D53" s="38"/>
      <c r="E53" s="38"/>
      <c r="F53" s="38"/>
      <c r="G53" s="38"/>
      <c r="H53" s="92"/>
      <c r="I53" s="99">
        <f>AC52</f>
        <v>0</v>
      </c>
      <c r="J53" s="100"/>
      <c r="K53" s="100"/>
      <c r="L53" s="100"/>
      <c r="M53" s="100"/>
      <c r="N53" s="100"/>
      <c r="O53" s="100"/>
      <c r="P53" s="100"/>
      <c r="Q53" s="100"/>
      <c r="R53" s="160" t="str">
        <f>IF(I53=0,"","円")</f>
        <v/>
      </c>
      <c r="S53" s="174"/>
      <c r="T53" s="187" t="s">
        <v>274</v>
      </c>
      <c r="U53" s="38"/>
      <c r="V53" s="38"/>
      <c r="W53" s="38"/>
      <c r="X53" s="38"/>
      <c r="Y53" s="38"/>
      <c r="Z53" s="38"/>
      <c r="AA53" s="194"/>
      <c r="AB53" s="197"/>
      <c r="AC53" s="206"/>
      <c r="AD53" s="206"/>
      <c r="AE53" s="206"/>
      <c r="AF53" s="206"/>
      <c r="AG53" s="206"/>
      <c r="AH53" s="206"/>
      <c r="AI53" s="206"/>
      <c r="AJ53" s="206"/>
      <c r="AK53" s="160" t="str">
        <f>IF(AB53=0,"","円")</f>
        <v/>
      </c>
      <c r="AL53" s="149"/>
      <c r="AN53" s="219" t="s">
        <v>284</v>
      </c>
    </row>
    <row r="54" spans="1:40" s="3" customFormat="1" ht="15" customHeight="1">
      <c r="A54" s="19" t="s">
        <v>104</v>
      </c>
      <c r="B54" s="39"/>
      <c r="C54" s="39"/>
      <c r="D54" s="39"/>
      <c r="E54" s="39"/>
      <c r="F54" s="55"/>
      <c r="G54" s="71" t="str">
        <f>IF(VLOOKUP($D$4,委託料一覧!A6:BI33,60,FALSE)=0,"",VLOOKUP($D$4,委託料一覧!A6:BI33,60,FALSE))</f>
        <v/>
      </c>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209"/>
    </row>
    <row r="55" spans="1:40" s="3" customFormat="1" ht="71.25" customHeight="1">
      <c r="A55" s="20" t="s">
        <v>105</v>
      </c>
      <c r="B55" s="40"/>
      <c r="C55" s="40"/>
      <c r="D55" s="40"/>
      <c r="E55" s="40"/>
      <c r="F55" s="56"/>
      <c r="G55" s="72" t="str">
        <f>IF(VLOOKUP($D$4,委託料一覧!A6:BI33,61,FALSE)=0,"",VLOOKUP($D$4,委託料一覧!A6:BI33,61,FALSE))</f>
        <v/>
      </c>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210"/>
    </row>
    <row r="56" spans="1:40" s="3" customFormat="1" ht="17.25" customHeight="1">
      <c r="A56" s="21" t="s">
        <v>353</v>
      </c>
      <c r="B56" s="21"/>
      <c r="C56" s="21"/>
      <c r="D56" s="21"/>
      <c r="E56" s="21"/>
      <c r="F56" s="21"/>
      <c r="G56" s="73" t="s">
        <v>352</v>
      </c>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40" s="2" customFormat="1" ht="45.75" customHeight="1">
      <c r="A57" s="21"/>
      <c r="B57" s="21"/>
      <c r="C57" s="21"/>
      <c r="D57" s="21"/>
      <c r="E57" s="21"/>
      <c r="F57" s="21"/>
      <c r="G57" s="7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211"/>
    </row>
    <row r="58" spans="1:40" s="2" customFormat="1" ht="15" customHeight="1">
      <c r="A58" s="1" t="s">
        <v>35</v>
      </c>
    </row>
    <row r="59" spans="1:40" s="2" customFormat="1" ht="15" customHeight="1">
      <c r="A59" s="7" t="s">
        <v>5</v>
      </c>
      <c r="B59" s="41"/>
      <c r="C59" s="41"/>
      <c r="D59" s="41"/>
      <c r="E59" s="41"/>
      <c r="F59" s="57"/>
      <c r="G59" s="75"/>
      <c r="H59" s="95"/>
      <c r="I59" s="95"/>
      <c r="J59" s="95"/>
      <c r="K59" s="95"/>
      <c r="L59" s="95"/>
      <c r="M59" s="95"/>
      <c r="N59" s="95"/>
      <c r="O59" s="95"/>
      <c r="P59" s="95"/>
      <c r="Q59" s="95"/>
      <c r="R59" s="161"/>
      <c r="S59" s="7" t="s">
        <v>71</v>
      </c>
      <c r="T59" s="41"/>
      <c r="U59" s="41"/>
      <c r="V59" s="41"/>
      <c r="W59" s="41"/>
      <c r="X59" s="57"/>
      <c r="Y59" s="75"/>
      <c r="Z59" s="193"/>
      <c r="AA59" s="193"/>
      <c r="AB59" s="193"/>
      <c r="AC59" s="193"/>
      <c r="AD59" s="193"/>
      <c r="AE59" s="193"/>
      <c r="AF59" s="193"/>
      <c r="AG59" s="193"/>
      <c r="AH59" s="193"/>
      <c r="AI59" s="193"/>
      <c r="AJ59" s="193"/>
      <c r="AK59" s="193"/>
      <c r="AL59" s="212"/>
    </row>
    <row r="60" spans="1:40" s="2" customFormat="1" ht="15" customHeight="1">
      <c r="A60" s="7" t="s">
        <v>40</v>
      </c>
      <c r="B60" s="41"/>
      <c r="C60" s="41"/>
      <c r="D60" s="41"/>
      <c r="E60" s="41"/>
      <c r="F60" s="57"/>
      <c r="G60" s="76"/>
      <c r="H60" s="76"/>
      <c r="I60" s="76"/>
      <c r="J60" s="76"/>
      <c r="K60" s="76"/>
      <c r="L60" s="76"/>
      <c r="M60" s="76"/>
      <c r="N60" s="76"/>
      <c r="O60" s="76"/>
      <c r="P60" s="76"/>
      <c r="Q60" s="76"/>
      <c r="R60" s="162"/>
      <c r="S60" s="7" t="s">
        <v>107</v>
      </c>
      <c r="T60" s="41"/>
      <c r="U60" s="41"/>
      <c r="V60" s="41"/>
      <c r="W60" s="41"/>
      <c r="X60" s="57"/>
      <c r="Y60" s="192"/>
      <c r="Z60" s="192"/>
      <c r="AA60" s="192"/>
      <c r="AB60" s="192"/>
      <c r="AC60" s="192"/>
      <c r="AD60" s="192"/>
      <c r="AE60" s="192"/>
      <c r="AF60" s="192"/>
      <c r="AG60" s="192"/>
      <c r="AH60" s="192"/>
      <c r="AI60" s="192"/>
      <c r="AJ60" s="192"/>
      <c r="AK60" s="192"/>
      <c r="AL60" s="213"/>
    </row>
    <row r="61" spans="1:40" s="2" customFormat="1" ht="15" customHeight="1">
      <c r="A61" s="22" t="s">
        <v>93</v>
      </c>
      <c r="B61" s="42"/>
      <c r="C61" s="42"/>
      <c r="D61" s="42"/>
      <c r="E61" s="42"/>
      <c r="F61" s="58"/>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214"/>
    </row>
    <row r="62" spans="1:40" s="2" customFormat="1" ht="15" customHeight="1">
      <c r="A62" s="23" t="s">
        <v>109</v>
      </c>
      <c r="B62" s="43"/>
      <c r="C62" s="43"/>
      <c r="D62" s="43"/>
      <c r="E62" s="43"/>
      <c r="F62" s="59"/>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215"/>
    </row>
    <row r="63" spans="1:40" s="2" customFormat="1" ht="5.0999999999999996" customHeight="1"/>
    <row r="64" spans="1:40" s="4" customFormat="1" ht="15" customHeight="1">
      <c r="A64" s="24" t="s">
        <v>110</v>
      </c>
      <c r="B64" s="44" t="s">
        <v>55</v>
      </c>
      <c r="C64" s="44"/>
      <c r="D64" s="44"/>
      <c r="E64" s="44"/>
      <c r="F64" s="44"/>
      <c r="G64" s="24" t="s">
        <v>32</v>
      </c>
      <c r="H64" s="4" t="s">
        <v>47</v>
      </c>
    </row>
    <row r="65" spans="1:256" s="4" customFormat="1" ht="15" customHeight="1">
      <c r="A65" s="24" t="s">
        <v>110</v>
      </c>
      <c r="B65" s="44" t="s">
        <v>111</v>
      </c>
      <c r="C65" s="44"/>
      <c r="D65" s="44"/>
      <c r="E65" s="44"/>
      <c r="F65" s="44"/>
      <c r="G65" s="24" t="s">
        <v>32</v>
      </c>
      <c r="H65" s="4" t="s">
        <v>9</v>
      </c>
    </row>
    <row r="66" spans="1:256" s="4" customFormat="1" ht="15" customHeight="1">
      <c r="A66" s="24"/>
      <c r="B66" s="44"/>
      <c r="C66" s="44"/>
      <c r="D66" s="44"/>
      <c r="E66" s="44"/>
      <c r="F66" s="44"/>
      <c r="G66" s="24"/>
      <c r="H66" s="4" t="s">
        <v>113</v>
      </c>
      <c r="IV66" s="220"/>
    </row>
    <row r="67" spans="1:256" s="4" customFormat="1" ht="15" customHeight="1">
      <c r="A67" s="24"/>
      <c r="B67" s="44"/>
      <c r="C67" s="44"/>
      <c r="D67" s="44"/>
      <c r="E67" s="44"/>
      <c r="F67" s="44"/>
      <c r="H67" s="96" t="s">
        <v>86</v>
      </c>
      <c r="I67" s="96"/>
      <c r="J67" s="96"/>
      <c r="K67" s="96"/>
      <c r="L67" s="96"/>
      <c r="M67" s="96"/>
      <c r="N67" s="96"/>
      <c r="O67" s="136" t="str">
        <f>IF(VLOOKUP($D$4,委託料一覧!A6:BI33,2,FALSE)=0,"",VLOOKUP($D$4,委託料一覧!A6:BI33,2,FALSE))</f>
        <v/>
      </c>
      <c r="P67" s="136"/>
      <c r="Q67" s="136"/>
      <c r="R67" s="136"/>
      <c r="S67" s="136"/>
      <c r="T67" s="136"/>
      <c r="U67" s="136"/>
      <c r="V67" s="136"/>
      <c r="W67" s="136"/>
      <c r="X67" s="136"/>
      <c r="Y67" s="136"/>
      <c r="Z67" s="96" t="s">
        <v>1</v>
      </c>
      <c r="AA67" s="96"/>
      <c r="AB67" s="96"/>
      <c r="AC67" s="136" t="str">
        <f>IF(VLOOKUP($D$4,委託料一覧!A6:BI33,5,FALSE)=0,"",VLOOKUP($D$4,委託料一覧!A6:BI33,5,FALSE))</f>
        <v/>
      </c>
      <c r="AD67" s="136"/>
      <c r="AE67" s="136"/>
      <c r="AF67" s="136"/>
      <c r="AG67" s="136"/>
      <c r="AH67" s="136"/>
      <c r="AI67" s="136"/>
      <c r="AJ67" s="136"/>
      <c r="AK67" s="136"/>
      <c r="AL67" s="136"/>
      <c r="IT67" s="220"/>
    </row>
    <row r="68" spans="1:256" ht="18.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row>
    <row r="69" spans="1:256" ht="18.7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row>
    <row r="70" spans="1:256" ht="18.7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row>
  </sheetData>
  <sheetProtection password="EF82" sheet="1" objects="1" scenarios="1"/>
  <protectedRanges>
    <protectedRange sqref="D4" name="宛先"/>
    <protectedRange sqref="AD3" name="年"/>
    <protectedRange sqref="AG3" name="月"/>
    <protectedRange sqref="AJ3" name="日"/>
    <protectedRange sqref="X5:AK9" name="医療機関名"/>
    <protectedRange sqref="L10" name="実績年"/>
    <protectedRange sqref="O10" name="実績月"/>
    <protectedRange sqref="L16:P51" name="実績人数"/>
    <protectedRange sqref="S44" name="単価_インフル"/>
    <protectedRange sqref="S47" name="単価_肺炎"/>
    <protectedRange sqref="G59" name="金融機関名"/>
    <protectedRange sqref="Y59" name="本支店名"/>
    <protectedRange sqref="G60" name="預金種別"/>
    <protectedRange sqref="Y60" name="口座番号"/>
    <protectedRange sqref="G61:AL62" name="口座名義"/>
    <protectedRange sqref="A68" name="印省略のための余白"/>
  </protectedRanges>
  <mergeCells count="327">
    <mergeCell ref="A1:AL1"/>
    <mergeCell ref="A2:AL2"/>
    <mergeCell ref="AD3:AE3"/>
    <mergeCell ref="AG3:AH3"/>
    <mergeCell ref="AJ3:AK3"/>
    <mergeCell ref="D4:P4"/>
    <mergeCell ref="R5:V5"/>
    <mergeCell ref="X5:AK5"/>
    <mergeCell ref="R6:V6"/>
    <mergeCell ref="X6:AK6"/>
    <mergeCell ref="R7:V7"/>
    <mergeCell ref="X7:AK7"/>
    <mergeCell ref="R8:V8"/>
    <mergeCell ref="X8:AJ8"/>
    <mergeCell ref="L10:M10"/>
    <mergeCell ref="O10:P10"/>
    <mergeCell ref="Q10:R10"/>
    <mergeCell ref="I12:N12"/>
    <mergeCell ref="P12:AA12"/>
    <mergeCell ref="AB12:AC12"/>
    <mergeCell ref="T14:AA14"/>
    <mergeCell ref="A15:F15"/>
    <mergeCell ref="G15:K15"/>
    <mergeCell ref="L15:R15"/>
    <mergeCell ref="S15:AB15"/>
    <mergeCell ref="AC15:AL15"/>
    <mergeCell ref="G16:K16"/>
    <mergeCell ref="L16:P16"/>
    <mergeCell ref="Q16:R16"/>
    <mergeCell ref="S16:Z16"/>
    <mergeCell ref="AA16:AB16"/>
    <mergeCell ref="AC16:AJ16"/>
    <mergeCell ref="AK16:AL16"/>
    <mergeCell ref="G17:K17"/>
    <mergeCell ref="L17:P17"/>
    <mergeCell ref="Q17:R17"/>
    <mergeCell ref="S17:Z17"/>
    <mergeCell ref="AA17:AB17"/>
    <mergeCell ref="AC17:AJ17"/>
    <mergeCell ref="AK17:AL17"/>
    <mergeCell ref="G18:K18"/>
    <mergeCell ref="L18:P18"/>
    <mergeCell ref="Q18:R18"/>
    <mergeCell ref="S18:Z18"/>
    <mergeCell ref="AA18:AB18"/>
    <mergeCell ref="AC18:AJ18"/>
    <mergeCell ref="AK18:AL18"/>
    <mergeCell ref="G19:K19"/>
    <mergeCell ref="L19:P19"/>
    <mergeCell ref="Q19:R19"/>
    <mergeCell ref="S19:Z19"/>
    <mergeCell ref="AA19:AB19"/>
    <mergeCell ref="AC19:AJ19"/>
    <mergeCell ref="AK19:AL19"/>
    <mergeCell ref="A20:K20"/>
    <mergeCell ref="L20:P20"/>
    <mergeCell ref="Q20:R20"/>
    <mergeCell ref="S20:Z20"/>
    <mergeCell ref="AA20:AB20"/>
    <mergeCell ref="AC20:AJ20"/>
    <mergeCell ref="AK20:AL20"/>
    <mergeCell ref="G21:K21"/>
    <mergeCell ref="L21:P21"/>
    <mergeCell ref="Q21:R21"/>
    <mergeCell ref="S21:Z21"/>
    <mergeCell ref="AA21:AB21"/>
    <mergeCell ref="AC21:AJ21"/>
    <mergeCell ref="AK21:AL21"/>
    <mergeCell ref="G22:K22"/>
    <mergeCell ref="L22:P22"/>
    <mergeCell ref="Q22:R22"/>
    <mergeCell ref="S22:Z22"/>
    <mergeCell ref="AA22:AB22"/>
    <mergeCell ref="AC22:AJ22"/>
    <mergeCell ref="AK22:AL22"/>
    <mergeCell ref="G23:K23"/>
    <mergeCell ref="L23:P23"/>
    <mergeCell ref="Q23:R23"/>
    <mergeCell ref="S23:Z23"/>
    <mergeCell ref="AA23:AB23"/>
    <mergeCell ref="AC23:AJ23"/>
    <mergeCell ref="AK23:AL23"/>
    <mergeCell ref="G24:K24"/>
    <mergeCell ref="L24:P24"/>
    <mergeCell ref="Q24:R24"/>
    <mergeCell ref="S24:Z24"/>
    <mergeCell ref="AA24:AB24"/>
    <mergeCell ref="AC24:AJ24"/>
    <mergeCell ref="AK24:AL24"/>
    <mergeCell ref="G25:K25"/>
    <mergeCell ref="L25:P25"/>
    <mergeCell ref="Q25:R25"/>
    <mergeCell ref="S25:Z25"/>
    <mergeCell ref="AA25:AB25"/>
    <mergeCell ref="AC25:AJ25"/>
    <mergeCell ref="AK25:AL25"/>
    <mergeCell ref="G26:K26"/>
    <mergeCell ref="L26:P26"/>
    <mergeCell ref="Q26:R26"/>
    <mergeCell ref="S26:Z26"/>
    <mergeCell ref="AA26:AB26"/>
    <mergeCell ref="AC26:AJ26"/>
    <mergeCell ref="AK26:AL26"/>
    <mergeCell ref="G27:K27"/>
    <mergeCell ref="L27:P27"/>
    <mergeCell ref="Q27:R27"/>
    <mergeCell ref="S27:Z27"/>
    <mergeCell ref="AA27:AB27"/>
    <mergeCell ref="AC27:AJ27"/>
    <mergeCell ref="AK27:AL27"/>
    <mergeCell ref="G28:K28"/>
    <mergeCell ref="L28:P28"/>
    <mergeCell ref="Q28:R28"/>
    <mergeCell ref="S28:Z28"/>
    <mergeCell ref="AA28:AB28"/>
    <mergeCell ref="AC28:AJ28"/>
    <mergeCell ref="AK28:AL28"/>
    <mergeCell ref="G29:K29"/>
    <mergeCell ref="L29:P29"/>
    <mergeCell ref="Q29:R29"/>
    <mergeCell ref="S29:Z29"/>
    <mergeCell ref="AA29:AB29"/>
    <mergeCell ref="AC29:AJ29"/>
    <mergeCell ref="AK29:AL29"/>
    <mergeCell ref="G30:K30"/>
    <mergeCell ref="L30:P30"/>
    <mergeCell ref="Q30:R30"/>
    <mergeCell ref="S30:Z30"/>
    <mergeCell ref="AA30:AB30"/>
    <mergeCell ref="AC30:AJ30"/>
    <mergeCell ref="AK30:AL30"/>
    <mergeCell ref="G31:K31"/>
    <mergeCell ref="L31:P31"/>
    <mergeCell ref="Q31:R31"/>
    <mergeCell ref="S31:Z31"/>
    <mergeCell ref="AA31:AB31"/>
    <mergeCell ref="AC31:AJ31"/>
    <mergeCell ref="AK31:AL31"/>
    <mergeCell ref="G32:K32"/>
    <mergeCell ref="L32:P32"/>
    <mergeCell ref="Q32:R32"/>
    <mergeCell ref="S32:Z32"/>
    <mergeCell ref="AA32:AB32"/>
    <mergeCell ref="AC32:AJ32"/>
    <mergeCell ref="AK32:AL32"/>
    <mergeCell ref="G33:K33"/>
    <mergeCell ref="L33:P33"/>
    <mergeCell ref="Q33:R33"/>
    <mergeCell ref="S33:Z33"/>
    <mergeCell ref="AA33:AB33"/>
    <mergeCell ref="AC33:AJ33"/>
    <mergeCell ref="AK33:AL33"/>
    <mergeCell ref="A34:K34"/>
    <mergeCell ref="L34:P34"/>
    <mergeCell ref="Q34:R34"/>
    <mergeCell ref="S34:Z34"/>
    <mergeCell ref="AA34:AB34"/>
    <mergeCell ref="AC34:AJ34"/>
    <mergeCell ref="AK34:AL34"/>
    <mergeCell ref="A35:K35"/>
    <mergeCell ref="L35:P35"/>
    <mergeCell ref="Q35:R35"/>
    <mergeCell ref="S35:Z35"/>
    <mergeCell ref="AA35:AB35"/>
    <mergeCell ref="AC35:AJ35"/>
    <mergeCell ref="AK35:AL35"/>
    <mergeCell ref="A36:K36"/>
    <mergeCell ref="L36:P36"/>
    <mergeCell ref="Q36:R36"/>
    <mergeCell ref="S36:Z36"/>
    <mergeCell ref="AA36:AB36"/>
    <mergeCell ref="AC36:AJ36"/>
    <mergeCell ref="AK36:AL36"/>
    <mergeCell ref="G37:K37"/>
    <mergeCell ref="L37:P37"/>
    <mergeCell ref="Q37:R37"/>
    <mergeCell ref="S37:Z37"/>
    <mergeCell ref="AA37:AB37"/>
    <mergeCell ref="AC37:AJ37"/>
    <mergeCell ref="AK37:AL37"/>
    <mergeCell ref="G38:K38"/>
    <mergeCell ref="L38:P38"/>
    <mergeCell ref="Q38:R38"/>
    <mergeCell ref="S38:Z38"/>
    <mergeCell ref="AA38:AB38"/>
    <mergeCell ref="AC38:AJ38"/>
    <mergeCell ref="AK38:AL38"/>
    <mergeCell ref="G39:K39"/>
    <mergeCell ref="L39:P39"/>
    <mergeCell ref="Q39:R39"/>
    <mergeCell ref="S39:Z39"/>
    <mergeCell ref="AA39:AB39"/>
    <mergeCell ref="AC39:AJ39"/>
    <mergeCell ref="AK39:AL39"/>
    <mergeCell ref="A40:K40"/>
    <mergeCell ref="L40:P40"/>
    <mergeCell ref="Q40:R40"/>
    <mergeCell ref="S40:Z40"/>
    <mergeCell ref="AA40:AB40"/>
    <mergeCell ref="AC40:AJ40"/>
    <mergeCell ref="AK40:AL40"/>
    <mergeCell ref="A41:K41"/>
    <mergeCell ref="L41:P41"/>
    <mergeCell ref="Q41:R41"/>
    <mergeCell ref="S41:Z41"/>
    <mergeCell ref="AA41:AB41"/>
    <mergeCell ref="AC41:AJ41"/>
    <mergeCell ref="AK41:AL41"/>
    <mergeCell ref="G42:K42"/>
    <mergeCell ref="L42:P42"/>
    <mergeCell ref="Q42:R42"/>
    <mergeCell ref="S42:Z42"/>
    <mergeCell ref="AA42:AB42"/>
    <mergeCell ref="AC42:AJ42"/>
    <mergeCell ref="AK42:AL42"/>
    <mergeCell ref="G43:K43"/>
    <mergeCell ref="L43:P43"/>
    <mergeCell ref="Q43:R43"/>
    <mergeCell ref="S43:Z43"/>
    <mergeCell ref="AA43:AB43"/>
    <mergeCell ref="AC43:AJ43"/>
    <mergeCell ref="AK43:AL43"/>
    <mergeCell ref="G44:K44"/>
    <mergeCell ref="L44:P44"/>
    <mergeCell ref="Q44:R44"/>
    <mergeCell ref="S44:Z44"/>
    <mergeCell ref="AA44:AB44"/>
    <mergeCell ref="AC44:AJ44"/>
    <mergeCell ref="AK44:AL44"/>
    <mergeCell ref="G45:K45"/>
    <mergeCell ref="L45:P45"/>
    <mergeCell ref="Q45:R45"/>
    <mergeCell ref="S45:Z45"/>
    <mergeCell ref="AA45:AB45"/>
    <mergeCell ref="AC45:AJ45"/>
    <mergeCell ref="AK45:AL45"/>
    <mergeCell ref="G46:K46"/>
    <mergeCell ref="L46:P46"/>
    <mergeCell ref="Q46:R46"/>
    <mergeCell ref="S46:Z46"/>
    <mergeCell ref="AA46:AB46"/>
    <mergeCell ref="AC46:AJ46"/>
    <mergeCell ref="AK46:AL46"/>
    <mergeCell ref="G47:K47"/>
    <mergeCell ref="L47:P47"/>
    <mergeCell ref="Q47:R47"/>
    <mergeCell ref="S47:Z47"/>
    <mergeCell ref="AA47:AB47"/>
    <mergeCell ref="AC47:AJ47"/>
    <mergeCell ref="AK47:AL47"/>
    <mergeCell ref="G48:K48"/>
    <mergeCell ref="L48:P48"/>
    <mergeCell ref="Q48:R48"/>
    <mergeCell ref="S48:Z48"/>
    <mergeCell ref="AA48:AB48"/>
    <mergeCell ref="AC48:AJ48"/>
    <mergeCell ref="AK48:AL48"/>
    <mergeCell ref="G49:K49"/>
    <mergeCell ref="L49:P49"/>
    <mergeCell ref="Q49:R49"/>
    <mergeCell ref="S49:Z49"/>
    <mergeCell ref="AA49:AB49"/>
    <mergeCell ref="AC49:AJ49"/>
    <mergeCell ref="AK49:AL49"/>
    <mergeCell ref="G50:K50"/>
    <mergeCell ref="L50:P50"/>
    <mergeCell ref="Q50:R50"/>
    <mergeCell ref="S50:Z50"/>
    <mergeCell ref="AA50:AB50"/>
    <mergeCell ref="AC50:AJ50"/>
    <mergeCell ref="AK50:AL50"/>
    <mergeCell ref="G51:K51"/>
    <mergeCell ref="L51:P51"/>
    <mergeCell ref="Q51:R51"/>
    <mergeCell ref="S51:Z51"/>
    <mergeCell ref="AA51:AB51"/>
    <mergeCell ref="AC51:AJ51"/>
    <mergeCell ref="AK51:AL51"/>
    <mergeCell ref="A52:K52"/>
    <mergeCell ref="L52:P52"/>
    <mergeCell ref="Q52:R52"/>
    <mergeCell ref="S52:AB52"/>
    <mergeCell ref="AC52:AJ52"/>
    <mergeCell ref="AK52:AL52"/>
    <mergeCell ref="A53:H53"/>
    <mergeCell ref="I53:Q53"/>
    <mergeCell ref="T53:AA53"/>
    <mergeCell ref="AB53:AJ53"/>
    <mergeCell ref="A54:F54"/>
    <mergeCell ref="G54:AL54"/>
    <mergeCell ref="A55:F55"/>
    <mergeCell ref="G55:AL55"/>
    <mergeCell ref="G56:AL56"/>
    <mergeCell ref="G57:AL57"/>
    <mergeCell ref="A59:F59"/>
    <mergeCell ref="G59:R59"/>
    <mergeCell ref="S59:X59"/>
    <mergeCell ref="Y59:AL59"/>
    <mergeCell ref="A60:F60"/>
    <mergeCell ref="G60:R60"/>
    <mergeCell ref="S60:X60"/>
    <mergeCell ref="Y60:AL60"/>
    <mergeCell ref="A61:F61"/>
    <mergeCell ref="G61:AL61"/>
    <mergeCell ref="A62:F62"/>
    <mergeCell ref="G62:AL62"/>
    <mergeCell ref="B64:F64"/>
    <mergeCell ref="B65:F65"/>
    <mergeCell ref="B66:F66"/>
    <mergeCell ref="B67:F67"/>
    <mergeCell ref="H67:N67"/>
    <mergeCell ref="O67:Y67"/>
    <mergeCell ref="Z67:AB67"/>
    <mergeCell ref="AC67:AL67"/>
    <mergeCell ref="A16:F17"/>
    <mergeCell ref="A18:F19"/>
    <mergeCell ref="A21:F22"/>
    <mergeCell ref="A23:F25"/>
    <mergeCell ref="A26:F28"/>
    <mergeCell ref="A29:F31"/>
    <mergeCell ref="A32:F33"/>
    <mergeCell ref="A37:F39"/>
    <mergeCell ref="A42:F43"/>
    <mergeCell ref="A44:F46"/>
    <mergeCell ref="A47:F49"/>
    <mergeCell ref="A50:F51"/>
    <mergeCell ref="A56:F57"/>
  </mergeCells>
  <phoneticPr fontId="20"/>
  <conditionalFormatting sqref="AB53">
    <cfRule type="expression" dxfId="35" priority="4" stopIfTrue="1">
      <formula>$G$50&lt;&gt;""</formula>
    </cfRule>
  </conditionalFormatting>
  <conditionalFormatting sqref="AA16:AB17">
    <cfRule type="expression" dxfId="34" priority="7" stopIfTrue="1">
      <formula>$G$16&lt;&gt;""</formula>
    </cfRule>
  </conditionalFormatting>
  <conditionalFormatting sqref="G16:K16 Q16:R16 AC16:AL16">
    <cfRule type="expression" dxfId="33" priority="8" stopIfTrue="1">
      <formula>$G$16&lt;&gt;""</formula>
    </cfRule>
  </conditionalFormatting>
  <conditionalFormatting sqref="G18:R18 AC18:AL18">
    <cfRule type="expression" dxfId="32" priority="9" stopIfTrue="1">
      <formula>$G$18&lt;&gt;""</formula>
    </cfRule>
  </conditionalFormatting>
  <conditionalFormatting sqref="G21:R21 AC21:AL21">
    <cfRule type="expression" dxfId="31" priority="10" stopIfTrue="1">
      <formula>$G$21&lt;&gt;""</formula>
    </cfRule>
  </conditionalFormatting>
  <conditionalFormatting sqref="G24:R24 AC24:AL24">
    <cfRule type="expression" dxfId="30" priority="11" stopIfTrue="1">
      <formula>$G$24&lt;&gt;""</formula>
    </cfRule>
  </conditionalFormatting>
  <conditionalFormatting sqref="G27:R27 AC27:AL27">
    <cfRule type="expression" dxfId="29" priority="12" stopIfTrue="1">
      <formula>$G$27&lt;&gt;""</formula>
    </cfRule>
  </conditionalFormatting>
  <conditionalFormatting sqref="G30:R30 AC30:AL30">
    <cfRule type="expression" dxfId="28" priority="13" stopIfTrue="1">
      <formula>$G$30&lt;&gt;""</formula>
    </cfRule>
  </conditionalFormatting>
  <conditionalFormatting sqref="G32:R32 AC32:AL32">
    <cfRule type="expression" dxfId="27" priority="14" stopIfTrue="1">
      <formula>$G$32&lt;&gt;""</formula>
    </cfRule>
  </conditionalFormatting>
  <conditionalFormatting sqref="S24:Z24">
    <cfRule type="expression" dxfId="26" priority="15" stopIfTrue="1">
      <formula>$G$24&lt;&gt;""</formula>
    </cfRule>
  </conditionalFormatting>
  <conditionalFormatting sqref="L16:P16">
    <cfRule type="expression" dxfId="25" priority="16" stopIfTrue="1">
      <formula>$G$16&lt;&gt;""</formula>
    </cfRule>
  </conditionalFormatting>
  <conditionalFormatting sqref="S32:Z32">
    <cfRule type="expression" dxfId="24" priority="17" stopIfTrue="1">
      <formula>$G$32&lt;&gt;""</formula>
    </cfRule>
  </conditionalFormatting>
  <conditionalFormatting sqref="AA24:AB24">
    <cfRule type="expression" dxfId="23" priority="18" stopIfTrue="1">
      <formula>$G$24&lt;&gt;""</formula>
    </cfRule>
  </conditionalFormatting>
  <conditionalFormatting sqref="S27:Z27">
    <cfRule type="expression" dxfId="22" priority="19" stopIfTrue="1">
      <formula>$G$24&lt;&gt;""</formula>
    </cfRule>
  </conditionalFormatting>
  <conditionalFormatting sqref="AA27:AB27">
    <cfRule type="expression" dxfId="21" priority="20" stopIfTrue="1">
      <formula>$G$24&lt;&gt;""</formula>
    </cfRule>
  </conditionalFormatting>
  <conditionalFormatting sqref="S30:Z30">
    <cfRule type="expression" dxfId="20" priority="21" stopIfTrue="1">
      <formula>$G$24&lt;&gt;""</formula>
    </cfRule>
  </conditionalFormatting>
  <conditionalFormatting sqref="AA30:AB30">
    <cfRule type="expression" dxfId="19" priority="22" stopIfTrue="1">
      <formula>$G$24&lt;&gt;""</formula>
    </cfRule>
  </conditionalFormatting>
  <conditionalFormatting sqref="S21:Z21">
    <cfRule type="expression" dxfId="18" priority="23" stopIfTrue="1">
      <formula>$G$21&lt;&gt;""</formula>
    </cfRule>
  </conditionalFormatting>
  <conditionalFormatting sqref="AA21:AB21">
    <cfRule type="expression" dxfId="17" priority="24" stopIfTrue="1">
      <formula>$G$21&lt;&gt;""</formula>
    </cfRule>
  </conditionalFormatting>
  <conditionalFormatting sqref="S16:Z16">
    <cfRule type="expression" dxfId="16" priority="25" stopIfTrue="1">
      <formula>$G$16&lt;&gt;""</formula>
    </cfRule>
  </conditionalFormatting>
  <conditionalFormatting sqref="S18:Z18">
    <cfRule type="expression" dxfId="15" priority="26" stopIfTrue="1">
      <formula>$G$18&lt;&gt;""</formula>
    </cfRule>
  </conditionalFormatting>
  <conditionalFormatting sqref="AA18:AB18">
    <cfRule type="expression" dxfId="14" priority="27" stopIfTrue="1">
      <formula>$G$18&lt;&gt;""</formula>
    </cfRule>
  </conditionalFormatting>
  <conditionalFormatting sqref="AA32:AB32">
    <cfRule type="expression" dxfId="13" priority="28" stopIfTrue="1">
      <formula>$G$32&lt;&gt;""</formula>
    </cfRule>
  </conditionalFormatting>
  <conditionalFormatting sqref="L41:R41 AC41:AL41">
    <cfRule type="expression" dxfId="12" priority="29" stopIfTrue="1">
      <formula>$G$41&lt;&gt;""</formula>
    </cfRule>
  </conditionalFormatting>
  <conditionalFormatting sqref="G42:P42 AC42:AL42">
    <cfRule type="expression" dxfId="11" priority="31" stopIfTrue="1">
      <formula>$G$21&lt;&gt;""</formula>
    </cfRule>
  </conditionalFormatting>
  <conditionalFormatting sqref="G50:AL50">
    <cfRule type="expression" dxfId="10" priority="32" stopIfTrue="1">
      <formula>$G$50&lt;&gt;""</formula>
    </cfRule>
  </conditionalFormatting>
  <conditionalFormatting sqref="G44:AL44">
    <cfRule type="expression" dxfId="9" priority="33" stopIfTrue="1">
      <formula>$G$44&lt;&gt;""</formula>
    </cfRule>
  </conditionalFormatting>
  <conditionalFormatting sqref="G45:R45 AC45:AL45">
    <cfRule type="expression" dxfId="8" priority="34" stopIfTrue="1">
      <formula>$G$45&lt;&gt;""</formula>
    </cfRule>
  </conditionalFormatting>
  <conditionalFormatting sqref="G47:AL47">
    <cfRule type="expression" dxfId="7" priority="35" stopIfTrue="1">
      <formula>$G$47&lt;&gt;""</formula>
    </cfRule>
  </conditionalFormatting>
  <conditionalFormatting sqref="G48:R48 AC48:AL48">
    <cfRule type="expression" dxfId="6" priority="36" stopIfTrue="1">
      <formula>$G$48&lt;&gt;""</formula>
    </cfRule>
  </conditionalFormatting>
  <conditionalFormatting sqref="S45:Z45">
    <cfRule type="expression" dxfId="5" priority="37" stopIfTrue="1">
      <formula>$G$45&lt;&gt;""</formula>
    </cfRule>
  </conditionalFormatting>
  <conditionalFormatting sqref="AA45:AB45">
    <cfRule type="expression" dxfId="4" priority="38" stopIfTrue="1">
      <formula>$G$45&lt;&gt;""</formula>
    </cfRule>
  </conditionalFormatting>
  <conditionalFormatting sqref="S48:Z48">
    <cfRule type="expression" dxfId="3" priority="39" stopIfTrue="1">
      <formula>$G$48&lt;&gt;""</formula>
    </cfRule>
  </conditionalFormatting>
  <conditionalFormatting sqref="AA48:AB48">
    <cfRule type="expression" dxfId="2" priority="40" stopIfTrue="1">
      <formula>$G$48&lt;&gt;""</formula>
    </cfRule>
  </conditionalFormatting>
  <conditionalFormatting sqref="G57">
    <cfRule type="expression" dxfId="1" priority="2" stopIfTrue="1">
      <formula>$G$50&lt;&gt;""</formula>
    </cfRule>
  </conditionalFormatting>
  <conditionalFormatting sqref="I53">
    <cfRule type="expression" dxfId="0" priority="6" stopIfTrue="1">
      <formula>$G$50&lt;&gt;""</formula>
    </cfRule>
  </conditionalFormatting>
  <dataValidations count="6">
    <dataValidation type="whole" allowBlank="1" showDropDown="0" showInputMessage="1" showErrorMessage="1" errorTitle="入力規則" error="1 ～ 31 の整数を入力してください。" sqref="AJ3:AK3">
      <formula1>1</formula1>
      <formula2>31</formula2>
    </dataValidation>
    <dataValidation type="whole" allowBlank="1" showDropDown="0" showInputMessage="1" showErrorMessage="1" errorTitle="入力既存" error="1 ～ 12 の整数を入力してください。" sqref="O10:P10 AG3:AH3">
      <formula1>1</formula1>
      <formula2>12</formula2>
    </dataValidation>
    <dataValidation type="list" allowBlank="0" showDropDown="0" showInputMessage="0" showErrorMessage="1" errorTitle="入力規則" error="リストから選択してください。" sqref="D4:P4">
      <formula1>INDIRECT("委託料一覧!a6:a33")</formula1>
    </dataValidation>
    <dataValidation type="whole" operator="greaterThan" allowBlank="1" showDropDown="0" showInputMessage="1" showErrorMessage="1" errorTitle="入力規則" error="0より大きい整数を入力してください。" sqref="S44:Z44 S47:Z47 L16:L52 M40:P52 M16:P37">
      <formula1>0</formula1>
    </dataValidation>
    <dataValidation type="whole" operator="greaterThan" allowBlank="1" showDropDown="0" showInputMessage="1" showErrorMessage="0" errorTitle="入力規則" error="0より大きい整数を入力してください。" sqref="AB53 AK53:AL53 R53:T53">
      <formula1>0</formula1>
    </dataValidation>
    <dataValidation type="list" allowBlank="0" showDropDown="0" showInputMessage="0" showErrorMessage="1" errorTitle="入力規則" error="リストから選択してください。" sqref="G60:R60">
      <formula1>"普　通,当　座"</formula1>
    </dataValidation>
  </dataValidations>
  <printOptions horizontalCentered="1"/>
  <pageMargins left="0.39370078740157477" right="0.39370078740157477" top="0.39370078740157477" bottom="0" header="0.31496062992125984" footer="0.19685039370078738"/>
  <pageSetup paperSize="9" scale="79" fitToWidth="1" fitToHeight="1" orientation="portrait" usePrinterDefaults="1" blackAndWhite="1" r:id="rId1"/>
  <headerFooter alignWithMargins="0">
    <oddHeader>&amp;R&amp;"ＭＳ 明朝,regular"標準様式３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O33"/>
  <sheetViews>
    <sheetView view="pageBreakPreview" zoomScaleSheetLayoutView="100" workbookViewId="0">
      <pane xSplit="1" ySplit="6" topLeftCell="BH7" activePane="bottomRight" state="frozen"/>
      <selection pane="topRight"/>
      <selection pane="bottomLeft"/>
      <selection pane="bottomRight" activeCell="BI16" sqref="BI16"/>
    </sheetView>
  </sheetViews>
  <sheetFormatPr defaultColWidth="9" defaultRowHeight="12"/>
  <cols>
    <col min="1" max="1" width="20.5703125" style="221" customWidth="1"/>
    <col min="2" max="2" width="27.5703125" style="221" customWidth="1"/>
    <col min="3" max="3" width="9.42578125" style="221" bestFit="1" customWidth="1"/>
    <col min="4" max="4" width="40.5703125" style="221" customWidth="1"/>
    <col min="5" max="5" width="13.85546875" style="221" bestFit="1" customWidth="1"/>
    <col min="6" max="9" width="9" style="221" bestFit="1" customWidth="0"/>
    <col min="10" max="13" width="9" style="222" bestFit="1" customWidth="0"/>
    <col min="14" max="59" width="9" style="221" bestFit="1" customWidth="0"/>
    <col min="60" max="60" width="50.5703125" style="223" customWidth="1"/>
    <col min="61" max="61" width="100.5703125" style="223" customWidth="1"/>
    <col min="62" max="62" width="9" style="224" bestFit="1" customWidth="0"/>
    <col min="63" max="64" width="27.5703125" style="221" customWidth="1"/>
    <col min="65" max="65" width="13.85546875" style="221" bestFit="1" customWidth="1"/>
    <col min="66" max="16384" width="9" style="221" bestFit="1" customWidth="0"/>
  </cols>
  <sheetData>
    <row r="1" spans="1:65">
      <c r="A1" s="227" t="s">
        <v>38</v>
      </c>
      <c r="B1" s="234"/>
      <c r="C1" s="234"/>
      <c r="D1" s="234"/>
      <c r="E1" s="252"/>
      <c r="F1" s="252"/>
      <c r="G1" s="252"/>
      <c r="H1" s="252"/>
      <c r="I1" s="252"/>
      <c r="J1" s="252">
        <v>10</v>
      </c>
      <c r="K1" s="252"/>
      <c r="L1" s="252"/>
      <c r="M1" s="252"/>
      <c r="N1" s="252"/>
      <c r="O1" s="234"/>
      <c r="P1" s="234"/>
      <c r="Q1" s="234"/>
      <c r="R1" s="234"/>
      <c r="S1" s="234"/>
      <c r="T1" s="234">
        <v>20</v>
      </c>
      <c r="U1" s="234"/>
      <c r="V1" s="234"/>
      <c r="W1" s="234"/>
      <c r="X1" s="234"/>
      <c r="Y1" s="234"/>
      <c r="Z1" s="234"/>
      <c r="AA1" s="234"/>
      <c r="AB1" s="234"/>
      <c r="AC1" s="234"/>
      <c r="AD1" s="234">
        <v>30</v>
      </c>
      <c r="AE1" s="234"/>
      <c r="AF1" s="234"/>
      <c r="AG1" s="234"/>
      <c r="AH1" s="234"/>
      <c r="AI1" s="234"/>
      <c r="AJ1" s="234"/>
      <c r="AK1" s="234"/>
      <c r="AL1" s="234"/>
      <c r="AM1" s="234"/>
      <c r="AN1" s="234">
        <v>40</v>
      </c>
      <c r="AO1" s="234"/>
      <c r="AP1" s="234"/>
      <c r="AQ1" s="234"/>
      <c r="AR1" s="234"/>
      <c r="AS1" s="234"/>
      <c r="AT1" s="234"/>
      <c r="AU1" s="234"/>
      <c r="AV1" s="234"/>
      <c r="AW1" s="234"/>
      <c r="AX1" s="234">
        <v>50</v>
      </c>
      <c r="AY1" s="234"/>
      <c r="AZ1" s="234"/>
      <c r="BA1" s="234"/>
      <c r="BB1" s="234"/>
      <c r="BC1" s="234"/>
      <c r="BD1" s="234"/>
      <c r="BE1" s="234"/>
      <c r="BF1" s="234"/>
      <c r="BG1" s="234"/>
      <c r="BH1" s="287">
        <v>60</v>
      </c>
      <c r="BI1" s="287"/>
      <c r="BK1" s="234"/>
      <c r="BL1" s="234"/>
      <c r="BM1" s="252"/>
    </row>
    <row r="2" spans="1:65">
      <c r="A2" s="228" t="s">
        <v>202</v>
      </c>
      <c r="C2" s="242"/>
      <c r="D2" s="234"/>
      <c r="E2" s="253"/>
      <c r="F2" s="253"/>
      <c r="G2" s="253"/>
      <c r="H2" s="253"/>
      <c r="I2" s="253"/>
      <c r="J2" s="253"/>
      <c r="K2" s="253"/>
      <c r="L2" s="253"/>
      <c r="M2" s="253"/>
      <c r="N2" s="253"/>
      <c r="P2" s="26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87"/>
      <c r="BI2" s="287"/>
      <c r="BM2" s="253"/>
    </row>
    <row r="3" spans="1:65" s="225" customFormat="1">
      <c r="A3" s="229"/>
      <c r="B3" s="229"/>
      <c r="C3" s="229"/>
      <c r="D3" s="229"/>
      <c r="E3" s="254"/>
      <c r="F3" s="254"/>
      <c r="G3" s="254"/>
      <c r="H3" s="254"/>
      <c r="I3" s="254"/>
      <c r="J3" s="254"/>
      <c r="K3" s="254"/>
      <c r="L3" s="254"/>
      <c r="M3" s="254"/>
      <c r="N3" s="254"/>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77"/>
      <c r="AV3" s="229"/>
      <c r="AW3" s="229"/>
      <c r="AX3" s="229"/>
      <c r="AY3" s="229"/>
      <c r="AZ3" s="229"/>
      <c r="BA3" s="229"/>
      <c r="BB3" s="229"/>
      <c r="BC3" s="229"/>
      <c r="BD3" s="229"/>
      <c r="BE3" s="229"/>
      <c r="BF3" s="229"/>
      <c r="BG3" s="229"/>
      <c r="BH3" s="229"/>
      <c r="BI3" s="229"/>
      <c r="BJ3" s="294"/>
      <c r="BK3" s="229"/>
      <c r="BL3" s="229"/>
      <c r="BM3" s="254"/>
    </row>
    <row r="4" spans="1:65">
      <c r="A4" s="230" t="s">
        <v>116</v>
      </c>
      <c r="B4" s="230" t="s">
        <v>117</v>
      </c>
      <c r="C4" s="230" t="s">
        <v>122</v>
      </c>
      <c r="D4" s="230" t="s">
        <v>123</v>
      </c>
      <c r="E4" s="230" t="s">
        <v>125</v>
      </c>
      <c r="F4" s="256" t="s">
        <v>126</v>
      </c>
      <c r="G4" s="230"/>
      <c r="H4" s="230"/>
      <c r="I4" s="230"/>
      <c r="J4" s="256" t="s">
        <v>103</v>
      </c>
      <c r="K4" s="230"/>
      <c r="L4" s="230"/>
      <c r="M4" s="230"/>
      <c r="N4" s="256" t="s">
        <v>131</v>
      </c>
      <c r="O4" s="230" t="s">
        <v>132</v>
      </c>
      <c r="P4" s="230"/>
      <c r="Q4" s="230"/>
      <c r="R4" s="230"/>
      <c r="S4" s="230" t="s">
        <v>134</v>
      </c>
      <c r="T4" s="230"/>
      <c r="U4" s="230"/>
      <c r="V4" s="230"/>
      <c r="W4" s="230"/>
      <c r="X4" s="230" t="s">
        <v>136</v>
      </c>
      <c r="Y4" s="230"/>
      <c r="Z4" s="230"/>
      <c r="AA4" s="230"/>
      <c r="AB4" s="230"/>
      <c r="AC4" s="230" t="s">
        <v>118</v>
      </c>
      <c r="AD4" s="230"/>
      <c r="AE4" s="230"/>
      <c r="AF4" s="230"/>
      <c r="AG4" s="230"/>
      <c r="AH4" s="230" t="s">
        <v>138</v>
      </c>
      <c r="AI4" s="230"/>
      <c r="AJ4" s="230"/>
      <c r="AK4" s="230"/>
      <c r="AL4" s="256" t="s">
        <v>139</v>
      </c>
      <c r="AM4" s="256" t="s">
        <v>141</v>
      </c>
      <c r="AN4" s="256" t="s">
        <v>68</v>
      </c>
      <c r="AO4" s="265" t="s">
        <v>144</v>
      </c>
      <c r="AP4" s="271"/>
      <c r="AQ4" s="272"/>
      <c r="AR4" s="256" t="s">
        <v>145</v>
      </c>
      <c r="AS4" s="274" t="s">
        <v>147</v>
      </c>
      <c r="AT4" s="276" t="s">
        <v>130</v>
      </c>
      <c r="AU4" s="274"/>
      <c r="AV4" s="276" t="s">
        <v>149</v>
      </c>
      <c r="AW4" s="281"/>
      <c r="AX4" s="281"/>
      <c r="AY4" s="282"/>
      <c r="AZ4" s="284" t="s">
        <v>150</v>
      </c>
      <c r="BA4" s="281"/>
      <c r="BB4" s="281"/>
      <c r="BC4" s="282"/>
      <c r="BD4" s="230" t="s">
        <v>129</v>
      </c>
      <c r="BE4" s="230"/>
      <c r="BF4" s="230"/>
      <c r="BG4" s="230"/>
      <c r="BH4" s="256" t="s">
        <v>151</v>
      </c>
      <c r="BI4" s="256" t="s">
        <v>153</v>
      </c>
      <c r="BJ4" s="230" t="s">
        <v>154</v>
      </c>
      <c r="BK4" s="230" t="s">
        <v>137</v>
      </c>
      <c r="BL4" s="230" t="s">
        <v>155</v>
      </c>
      <c r="BM4" s="311" t="s">
        <v>79</v>
      </c>
    </row>
    <row r="5" spans="1:65">
      <c r="A5" s="230"/>
      <c r="B5" s="230"/>
      <c r="C5" s="230"/>
      <c r="D5" s="230"/>
      <c r="E5" s="230"/>
      <c r="F5" s="230"/>
      <c r="G5" s="230"/>
      <c r="H5" s="230"/>
      <c r="I5" s="230"/>
      <c r="J5" s="230"/>
      <c r="K5" s="230"/>
      <c r="L5" s="230"/>
      <c r="M5" s="230"/>
      <c r="N5" s="230"/>
      <c r="O5" s="230"/>
      <c r="P5" s="230"/>
      <c r="Q5" s="230"/>
      <c r="R5" s="230"/>
      <c r="S5" s="230" t="s">
        <v>157</v>
      </c>
      <c r="T5" s="230" t="s">
        <v>158</v>
      </c>
      <c r="U5" s="230"/>
      <c r="V5" s="230"/>
      <c r="W5" s="230"/>
      <c r="X5" s="230" t="s">
        <v>157</v>
      </c>
      <c r="Y5" s="230" t="s">
        <v>158</v>
      </c>
      <c r="Z5" s="230"/>
      <c r="AA5" s="230"/>
      <c r="AB5" s="230"/>
      <c r="AC5" s="230" t="s">
        <v>157</v>
      </c>
      <c r="AD5" s="230" t="s">
        <v>158</v>
      </c>
      <c r="AE5" s="230"/>
      <c r="AF5" s="230"/>
      <c r="AG5" s="230"/>
      <c r="AH5" s="230"/>
      <c r="AI5" s="230"/>
      <c r="AJ5" s="230"/>
      <c r="AK5" s="230"/>
      <c r="AL5" s="230"/>
      <c r="AM5" s="230"/>
      <c r="AN5" s="230"/>
      <c r="AO5" s="266" t="s">
        <v>97</v>
      </c>
      <c r="AP5" s="266" t="s">
        <v>115</v>
      </c>
      <c r="AQ5" s="266" t="s">
        <v>278</v>
      </c>
      <c r="AR5" s="230"/>
      <c r="AS5" s="275"/>
      <c r="AT5" s="256" t="s">
        <v>159</v>
      </c>
      <c r="AU5" s="256" t="s">
        <v>160</v>
      </c>
      <c r="AV5" s="278"/>
      <c r="AW5" s="229"/>
      <c r="AX5" s="229"/>
      <c r="AY5" s="283"/>
      <c r="AZ5" s="229"/>
      <c r="BA5" s="229"/>
      <c r="BB5" s="229"/>
      <c r="BC5" s="283"/>
      <c r="BD5" s="230"/>
      <c r="BE5" s="230"/>
      <c r="BF5" s="230"/>
      <c r="BG5" s="230"/>
      <c r="BH5" s="256"/>
      <c r="BI5" s="256"/>
      <c r="BJ5" s="230"/>
      <c r="BK5" s="230"/>
      <c r="BL5" s="230"/>
      <c r="BM5" s="312"/>
    </row>
    <row r="6" spans="1:65" ht="2.1" customHeight="1">
      <c r="A6" s="231" t="s">
        <v>23</v>
      </c>
      <c r="B6" s="231" t="s">
        <v>23</v>
      </c>
      <c r="C6" s="231" t="s">
        <v>23</v>
      </c>
      <c r="D6" s="231" t="s">
        <v>23</v>
      </c>
      <c r="E6" s="231" t="s">
        <v>23</v>
      </c>
      <c r="F6" s="257"/>
      <c r="G6" s="258"/>
      <c r="H6" s="257"/>
      <c r="I6" s="261"/>
      <c r="J6" s="257"/>
      <c r="K6" s="261"/>
      <c r="L6" s="257"/>
      <c r="M6" s="261"/>
      <c r="N6" s="261"/>
      <c r="O6" s="261"/>
      <c r="P6" s="261"/>
      <c r="Q6" s="257"/>
      <c r="R6" s="261"/>
      <c r="S6" s="261"/>
      <c r="T6" s="261"/>
      <c r="U6" s="261"/>
      <c r="V6" s="261"/>
      <c r="W6" s="261"/>
      <c r="X6" s="261"/>
      <c r="Y6" s="261"/>
      <c r="Z6" s="261"/>
      <c r="AA6" s="261"/>
      <c r="AB6" s="261"/>
      <c r="AC6" s="261"/>
      <c r="AD6" s="261"/>
      <c r="AE6" s="261"/>
      <c r="AF6" s="261"/>
      <c r="AG6" s="261"/>
      <c r="AH6" s="261"/>
      <c r="AI6" s="261"/>
      <c r="AJ6" s="257"/>
      <c r="AK6" s="261"/>
      <c r="AL6" s="261"/>
      <c r="AM6" s="261"/>
      <c r="AN6" s="261"/>
      <c r="AO6" s="267"/>
      <c r="AP6" s="267"/>
      <c r="AQ6" s="267"/>
      <c r="AR6" s="261"/>
      <c r="AS6" s="261"/>
      <c r="AT6" s="261"/>
      <c r="AU6" s="261"/>
      <c r="AV6" s="261"/>
      <c r="AW6" s="261"/>
      <c r="AX6" s="261"/>
      <c r="AY6" s="261"/>
      <c r="AZ6" s="261"/>
      <c r="BA6" s="261"/>
      <c r="BB6" s="261"/>
      <c r="BC6" s="261"/>
      <c r="BD6" s="257"/>
      <c r="BE6" s="258"/>
      <c r="BF6" s="257"/>
      <c r="BG6" s="257"/>
      <c r="BH6" s="288"/>
      <c r="BI6" s="292"/>
      <c r="BJ6" s="230"/>
      <c r="BK6" s="231"/>
      <c r="BL6" s="231"/>
      <c r="BM6" s="231"/>
    </row>
    <row r="7" spans="1:65" ht="60" customHeight="1">
      <c r="A7" s="232" t="s">
        <v>161</v>
      </c>
      <c r="B7" s="233" t="s">
        <v>163</v>
      </c>
      <c r="C7" s="243" t="s">
        <v>166</v>
      </c>
      <c r="D7" s="249" t="s">
        <v>169</v>
      </c>
      <c r="E7" s="243" t="s">
        <v>171</v>
      </c>
      <c r="F7" s="233"/>
      <c r="G7" s="259"/>
      <c r="H7" s="233" t="s">
        <v>172</v>
      </c>
      <c r="I7" s="260">
        <v>4015</v>
      </c>
      <c r="J7" s="233"/>
      <c r="K7" s="260"/>
      <c r="L7" s="233" t="s">
        <v>172</v>
      </c>
      <c r="M7" s="260">
        <v>4015</v>
      </c>
      <c r="N7" s="260">
        <v>3575</v>
      </c>
      <c r="O7" s="260"/>
      <c r="P7" s="260"/>
      <c r="Q7" s="233" t="s">
        <v>172</v>
      </c>
      <c r="R7" s="260">
        <v>4015</v>
      </c>
      <c r="S7" s="260">
        <v>5830</v>
      </c>
      <c r="T7" s="233" t="s">
        <v>174</v>
      </c>
      <c r="U7" s="260">
        <v>4400</v>
      </c>
      <c r="V7" s="233" t="s">
        <v>11</v>
      </c>
      <c r="W7" s="260">
        <v>3575</v>
      </c>
      <c r="X7" s="260">
        <v>5830</v>
      </c>
      <c r="Y7" s="233" t="s">
        <v>174</v>
      </c>
      <c r="Z7" s="260">
        <v>4400</v>
      </c>
      <c r="AA7" s="233" t="s">
        <v>11</v>
      </c>
      <c r="AB7" s="260">
        <v>3575</v>
      </c>
      <c r="AC7" s="260">
        <v>5830</v>
      </c>
      <c r="AD7" s="233" t="s">
        <v>174</v>
      </c>
      <c r="AE7" s="260">
        <v>4400</v>
      </c>
      <c r="AF7" s="233" t="s">
        <v>11</v>
      </c>
      <c r="AG7" s="260">
        <v>3575</v>
      </c>
      <c r="AH7" s="260"/>
      <c r="AI7" s="260"/>
      <c r="AJ7" s="260" t="s">
        <v>172</v>
      </c>
      <c r="AK7" s="260">
        <v>3641</v>
      </c>
      <c r="AL7" s="260">
        <v>5830</v>
      </c>
      <c r="AM7" s="260">
        <v>4015</v>
      </c>
      <c r="AN7" s="260">
        <v>4015</v>
      </c>
      <c r="AO7" s="268">
        <v>3575</v>
      </c>
      <c r="AP7" s="269">
        <v>3575</v>
      </c>
      <c r="AQ7" s="269">
        <v>3575</v>
      </c>
      <c r="AR7" s="260">
        <v>5830</v>
      </c>
      <c r="AS7" s="260">
        <v>4620</v>
      </c>
      <c r="AT7" s="260">
        <v>5830</v>
      </c>
      <c r="AU7" s="260">
        <v>5830</v>
      </c>
      <c r="AV7" s="243" t="s">
        <v>176</v>
      </c>
      <c r="AW7" s="260">
        <v>3225</v>
      </c>
      <c r="AX7" s="260" t="s">
        <v>177</v>
      </c>
      <c r="AY7" s="260">
        <v>2625</v>
      </c>
      <c r="AZ7" s="243" t="s">
        <v>176</v>
      </c>
      <c r="BA7" s="260">
        <v>6251</v>
      </c>
      <c r="BB7" s="260" t="s">
        <v>177</v>
      </c>
      <c r="BC7" s="260">
        <v>5251</v>
      </c>
      <c r="BD7" s="233"/>
      <c r="BE7" s="259"/>
      <c r="BF7" s="233" t="s">
        <v>28</v>
      </c>
      <c r="BG7" s="233"/>
      <c r="BH7" s="289" t="s">
        <v>50</v>
      </c>
      <c r="BI7" s="293" t="s">
        <v>178</v>
      </c>
      <c r="BJ7" s="230"/>
      <c r="BK7" s="233" t="s">
        <v>179</v>
      </c>
      <c r="BL7" s="300" t="s">
        <v>76</v>
      </c>
      <c r="BM7" s="243" t="s">
        <v>181</v>
      </c>
    </row>
    <row r="8" spans="1:65" ht="60" customHeight="1">
      <c r="A8" s="232" t="s">
        <v>183</v>
      </c>
      <c r="B8" s="233" t="s">
        <v>163</v>
      </c>
      <c r="C8" s="244" t="s">
        <v>166</v>
      </c>
      <c r="D8" s="250" t="s">
        <v>169</v>
      </c>
      <c r="E8" s="244" t="s">
        <v>171</v>
      </c>
      <c r="F8" s="233"/>
      <c r="G8" s="259"/>
      <c r="H8" s="233" t="s">
        <v>172</v>
      </c>
      <c r="I8" s="260">
        <v>10901</v>
      </c>
      <c r="J8" s="233"/>
      <c r="K8" s="260"/>
      <c r="L8" s="233" t="s">
        <v>172</v>
      </c>
      <c r="M8" s="260">
        <v>5665</v>
      </c>
      <c r="N8" s="260">
        <v>4944</v>
      </c>
      <c r="O8" s="260"/>
      <c r="P8" s="260"/>
      <c r="Q8" s="233" t="s">
        <v>172</v>
      </c>
      <c r="R8" s="260">
        <v>9999</v>
      </c>
      <c r="S8" s="260">
        <v>12177</v>
      </c>
      <c r="T8" s="233" t="s">
        <v>174</v>
      </c>
      <c r="U8" s="260">
        <v>10747</v>
      </c>
      <c r="V8" s="233" t="s">
        <v>11</v>
      </c>
      <c r="W8" s="260">
        <v>9922</v>
      </c>
      <c r="X8" s="260">
        <v>8767</v>
      </c>
      <c r="Y8" s="233" t="s">
        <v>174</v>
      </c>
      <c r="Z8" s="260">
        <v>7337</v>
      </c>
      <c r="AA8" s="233" t="s">
        <v>11</v>
      </c>
      <c r="AB8" s="260">
        <v>6512</v>
      </c>
      <c r="AC8" s="260">
        <v>8756</v>
      </c>
      <c r="AD8" s="233" t="s">
        <v>174</v>
      </c>
      <c r="AE8" s="260">
        <v>7326</v>
      </c>
      <c r="AF8" s="233" t="s">
        <v>11</v>
      </c>
      <c r="AG8" s="260">
        <v>6501</v>
      </c>
      <c r="AH8" s="260"/>
      <c r="AI8" s="260"/>
      <c r="AJ8" s="260" t="s">
        <v>172</v>
      </c>
      <c r="AK8" s="260">
        <v>6933</v>
      </c>
      <c r="AL8" s="260">
        <v>11110</v>
      </c>
      <c r="AM8" s="262">
        <v>8319</v>
      </c>
      <c r="AN8" s="262">
        <v>11288</v>
      </c>
      <c r="AO8" s="269">
        <v>16764</v>
      </c>
      <c r="AP8" s="269">
        <v>15950</v>
      </c>
      <c r="AQ8" s="269">
        <v>25012</v>
      </c>
      <c r="AR8" s="262">
        <v>10450</v>
      </c>
      <c r="AS8" s="262">
        <v>7018</v>
      </c>
      <c r="AT8" s="262">
        <v>16445</v>
      </c>
      <c r="AU8" s="262">
        <v>11036</v>
      </c>
      <c r="AV8" s="243" t="s">
        <v>176</v>
      </c>
      <c r="AW8" s="260">
        <v>3225</v>
      </c>
      <c r="AX8" s="260" t="s">
        <v>177</v>
      </c>
      <c r="AY8" s="260">
        <v>2625</v>
      </c>
      <c r="AZ8" s="243" t="s">
        <v>176</v>
      </c>
      <c r="BA8" s="260">
        <v>6251</v>
      </c>
      <c r="BB8" s="260" t="s">
        <v>177</v>
      </c>
      <c r="BC8" s="260">
        <v>5251</v>
      </c>
      <c r="BD8" s="233"/>
      <c r="BE8" s="259"/>
      <c r="BF8" s="233" t="s">
        <v>28</v>
      </c>
      <c r="BG8" s="233"/>
      <c r="BH8" s="289" t="s">
        <v>185</v>
      </c>
      <c r="BI8" s="293" t="s">
        <v>178</v>
      </c>
      <c r="BJ8" s="230"/>
      <c r="BK8" s="295" t="s">
        <v>179</v>
      </c>
      <c r="BL8" s="295" t="s">
        <v>76</v>
      </c>
      <c r="BM8" s="244" t="s">
        <v>181</v>
      </c>
    </row>
    <row r="9" spans="1:65" s="226" customFormat="1" ht="30" customHeight="1">
      <c r="A9" s="233" t="s">
        <v>148</v>
      </c>
      <c r="B9" s="235" t="s">
        <v>186</v>
      </c>
      <c r="C9" s="245" t="s">
        <v>90</v>
      </c>
      <c r="D9" s="235" t="s">
        <v>187</v>
      </c>
      <c r="E9" s="245" t="s">
        <v>108</v>
      </c>
      <c r="F9" s="233"/>
      <c r="G9" s="259"/>
      <c r="H9" s="233" t="s">
        <v>172</v>
      </c>
      <c r="I9" s="260">
        <v>11280</v>
      </c>
      <c r="J9" s="233"/>
      <c r="K9" s="260"/>
      <c r="L9" s="233" t="s">
        <v>172</v>
      </c>
      <c r="M9" s="260"/>
      <c r="N9" s="260">
        <v>4810</v>
      </c>
      <c r="O9" s="260"/>
      <c r="P9" s="260"/>
      <c r="Q9" s="233" t="s">
        <v>172</v>
      </c>
      <c r="R9" s="260">
        <v>10125</v>
      </c>
      <c r="S9" s="260">
        <v>10840</v>
      </c>
      <c r="T9" s="260"/>
      <c r="U9" s="260"/>
      <c r="V9" s="260" t="s">
        <v>189</v>
      </c>
      <c r="W9" s="260">
        <f>S9</f>
        <v>10840</v>
      </c>
      <c r="X9" s="260">
        <v>7243</v>
      </c>
      <c r="Y9" s="260"/>
      <c r="Z9" s="260"/>
      <c r="AA9" s="260" t="s">
        <v>189</v>
      </c>
      <c r="AB9" s="260">
        <f>X9</f>
        <v>7243</v>
      </c>
      <c r="AC9" s="260">
        <v>7243</v>
      </c>
      <c r="AD9" s="260"/>
      <c r="AE9" s="260"/>
      <c r="AF9" s="260" t="s">
        <v>189</v>
      </c>
      <c r="AG9" s="260">
        <f>AC9</f>
        <v>7243</v>
      </c>
      <c r="AH9" s="260"/>
      <c r="AI9" s="260"/>
      <c r="AJ9" s="260" t="s">
        <v>172</v>
      </c>
      <c r="AK9" s="260">
        <v>7705</v>
      </c>
      <c r="AL9" s="260">
        <v>9630</v>
      </c>
      <c r="AM9" s="260">
        <v>8684</v>
      </c>
      <c r="AN9" s="260">
        <v>12391</v>
      </c>
      <c r="AO9" s="268">
        <v>16580</v>
      </c>
      <c r="AP9" s="269">
        <v>16580</v>
      </c>
      <c r="AQ9" s="269">
        <v>28042</v>
      </c>
      <c r="AR9" s="260">
        <v>9080</v>
      </c>
      <c r="AS9" s="260">
        <v>6796</v>
      </c>
      <c r="AT9" s="260">
        <v>14800</v>
      </c>
      <c r="AU9" s="260">
        <v>9773</v>
      </c>
      <c r="AV9" s="260"/>
      <c r="AW9" s="260"/>
      <c r="AX9" s="260" t="s">
        <v>191</v>
      </c>
      <c r="AY9" s="260">
        <v>1400</v>
      </c>
      <c r="AZ9" s="260"/>
      <c r="BA9" s="260"/>
      <c r="BB9" s="260" t="s">
        <v>191</v>
      </c>
      <c r="BC9" s="260">
        <v>4000</v>
      </c>
      <c r="BD9" s="233"/>
      <c r="BE9" s="259"/>
      <c r="BF9" s="233" t="s">
        <v>28</v>
      </c>
      <c r="BG9" s="233"/>
      <c r="BH9" s="232" t="s">
        <v>42</v>
      </c>
      <c r="BI9" s="232" t="s">
        <v>193</v>
      </c>
      <c r="BJ9" s="243" t="s">
        <v>194</v>
      </c>
      <c r="BK9" s="235" t="s">
        <v>196</v>
      </c>
      <c r="BL9" s="301" t="s">
        <v>197</v>
      </c>
      <c r="BM9" s="313" t="s">
        <v>72</v>
      </c>
    </row>
    <row r="10" spans="1:65" s="226" customFormat="1" ht="30" customHeight="1">
      <c r="A10" s="233" t="s">
        <v>18</v>
      </c>
      <c r="B10" s="236" t="s">
        <v>69</v>
      </c>
      <c r="C10" s="246" t="s">
        <v>198</v>
      </c>
      <c r="D10" s="236" t="s">
        <v>199</v>
      </c>
      <c r="E10" s="246" t="s">
        <v>200</v>
      </c>
      <c r="F10" s="233"/>
      <c r="G10" s="260"/>
      <c r="H10" s="233" t="s">
        <v>172</v>
      </c>
      <c r="I10" s="260">
        <v>11957</v>
      </c>
      <c r="J10" s="233"/>
      <c r="K10" s="260"/>
      <c r="L10" s="233" t="s">
        <v>172</v>
      </c>
      <c r="M10" s="260">
        <v>6468</v>
      </c>
      <c r="N10" s="260">
        <v>5412</v>
      </c>
      <c r="O10" s="260"/>
      <c r="P10" s="260"/>
      <c r="Q10" s="233" t="s">
        <v>172</v>
      </c>
      <c r="R10" s="260">
        <v>10802</v>
      </c>
      <c r="S10" s="260">
        <v>11462</v>
      </c>
      <c r="T10" s="260"/>
      <c r="U10" s="260"/>
      <c r="V10" s="260" t="s">
        <v>189</v>
      </c>
      <c r="W10" s="260">
        <f>S10</f>
        <v>11462</v>
      </c>
      <c r="X10" s="260">
        <v>7920</v>
      </c>
      <c r="Y10" s="260"/>
      <c r="Z10" s="260"/>
      <c r="AA10" s="260" t="s">
        <v>189</v>
      </c>
      <c r="AB10" s="260">
        <f>X10</f>
        <v>7920</v>
      </c>
      <c r="AC10" s="260">
        <v>7920</v>
      </c>
      <c r="AD10" s="260"/>
      <c r="AE10" s="260"/>
      <c r="AF10" s="260" t="s">
        <v>189</v>
      </c>
      <c r="AG10" s="260">
        <f>AC10</f>
        <v>7920</v>
      </c>
      <c r="AH10" s="233" t="s">
        <v>201</v>
      </c>
      <c r="AI10" s="260">
        <v>8382</v>
      </c>
      <c r="AJ10" s="233" t="s">
        <v>203</v>
      </c>
      <c r="AK10" s="260">
        <v>7557</v>
      </c>
      <c r="AL10" s="260">
        <v>10307</v>
      </c>
      <c r="AM10" s="260">
        <v>9361</v>
      </c>
      <c r="AN10" s="260">
        <v>12727</v>
      </c>
      <c r="AO10" s="268">
        <v>17182</v>
      </c>
      <c r="AP10" s="269">
        <v>17182</v>
      </c>
      <c r="AQ10" s="269">
        <v>28182</v>
      </c>
      <c r="AR10" s="260">
        <v>9757</v>
      </c>
      <c r="AS10" s="260">
        <v>7203</v>
      </c>
      <c r="AT10" s="260">
        <v>15235</v>
      </c>
      <c r="AU10" s="260">
        <v>10208</v>
      </c>
      <c r="AV10" s="260"/>
      <c r="AW10" s="260"/>
      <c r="AX10" s="260" t="s">
        <v>191</v>
      </c>
      <c r="AY10" s="260">
        <v>1000</v>
      </c>
      <c r="AZ10" s="260"/>
      <c r="BA10" s="260"/>
      <c r="BB10" s="260" t="s">
        <v>191</v>
      </c>
      <c r="BC10" s="260">
        <v>3000</v>
      </c>
      <c r="BD10" s="233"/>
      <c r="BE10" s="259"/>
      <c r="BF10" s="233" t="s">
        <v>28</v>
      </c>
      <c r="BG10" s="233"/>
      <c r="BH10" s="232" t="s">
        <v>42</v>
      </c>
      <c r="BI10" s="232" t="s">
        <v>205</v>
      </c>
      <c r="BJ10" s="243" t="s">
        <v>194</v>
      </c>
      <c r="BK10" s="238" t="s">
        <v>146</v>
      </c>
      <c r="BL10" s="302" t="s">
        <v>207</v>
      </c>
      <c r="BM10" s="246" t="s">
        <v>208</v>
      </c>
    </row>
    <row r="11" spans="1:65" s="226" customFormat="1" ht="30" customHeight="1">
      <c r="A11" s="233" t="s">
        <v>173</v>
      </c>
      <c r="B11" s="236" t="s">
        <v>164</v>
      </c>
      <c r="C11" s="246" t="s">
        <v>209</v>
      </c>
      <c r="D11" s="236" t="s">
        <v>45</v>
      </c>
      <c r="E11" s="246" t="s">
        <v>73</v>
      </c>
      <c r="F11" s="233"/>
      <c r="G11" s="259"/>
      <c r="H11" s="233" t="s">
        <v>172</v>
      </c>
      <c r="I11" s="260">
        <v>11390</v>
      </c>
      <c r="J11" s="233"/>
      <c r="K11" s="260"/>
      <c r="L11" s="233" t="s">
        <v>172</v>
      </c>
      <c r="M11" s="260">
        <v>5900</v>
      </c>
      <c r="N11" s="260">
        <v>5310</v>
      </c>
      <c r="O11" s="260"/>
      <c r="P11" s="260"/>
      <c r="Q11" s="233" t="s">
        <v>172</v>
      </c>
      <c r="R11" s="260">
        <v>10230</v>
      </c>
      <c r="S11" s="260">
        <v>10890</v>
      </c>
      <c r="T11" s="260"/>
      <c r="U11" s="260"/>
      <c r="V11" s="260" t="s">
        <v>189</v>
      </c>
      <c r="W11" s="260">
        <v>10890</v>
      </c>
      <c r="X11" s="260">
        <v>7350</v>
      </c>
      <c r="Y11" s="260"/>
      <c r="Z11" s="260"/>
      <c r="AA11" s="260" t="s">
        <v>189</v>
      </c>
      <c r="AB11" s="260">
        <v>7350</v>
      </c>
      <c r="AC11" s="260">
        <v>7350</v>
      </c>
      <c r="AD11" s="260"/>
      <c r="AE11" s="260"/>
      <c r="AF11" s="260" t="s">
        <v>189</v>
      </c>
      <c r="AG11" s="260">
        <v>7350</v>
      </c>
      <c r="AH11" s="260" t="s">
        <v>215</v>
      </c>
      <c r="AI11" s="260">
        <v>7810</v>
      </c>
      <c r="AJ11" s="233" t="s">
        <v>4</v>
      </c>
      <c r="AK11" s="260">
        <v>6990</v>
      </c>
      <c r="AL11" s="260">
        <v>9980</v>
      </c>
      <c r="AM11" s="260">
        <v>8790</v>
      </c>
      <c r="AN11" s="260">
        <v>12160</v>
      </c>
      <c r="AO11" s="268">
        <v>16610</v>
      </c>
      <c r="AP11" s="269">
        <v>16610</v>
      </c>
      <c r="AQ11" s="269">
        <v>28070</v>
      </c>
      <c r="AR11" s="260">
        <v>9190</v>
      </c>
      <c r="AS11" s="260">
        <v>6670</v>
      </c>
      <c r="AT11" s="260">
        <v>14660</v>
      </c>
      <c r="AU11" s="260">
        <v>9640</v>
      </c>
      <c r="AV11" s="260"/>
      <c r="AW11" s="260"/>
      <c r="AX11" s="260" t="s">
        <v>191</v>
      </c>
      <c r="AY11" s="260">
        <v>1000</v>
      </c>
      <c r="AZ11" s="260"/>
      <c r="BA11" s="260"/>
      <c r="BB11" s="260" t="s">
        <v>191</v>
      </c>
      <c r="BC11" s="260">
        <v>3000</v>
      </c>
      <c r="BD11" s="233" t="s">
        <v>215</v>
      </c>
      <c r="BE11" s="260">
        <v>3990</v>
      </c>
      <c r="BF11" s="233" t="s">
        <v>216</v>
      </c>
      <c r="BG11" s="260">
        <v>3170</v>
      </c>
      <c r="BH11" s="232" t="s">
        <v>42</v>
      </c>
      <c r="BI11" s="232" t="s">
        <v>217</v>
      </c>
      <c r="BJ11" s="243"/>
      <c r="BK11" s="240" t="s">
        <v>335</v>
      </c>
      <c r="BL11" s="303" t="s">
        <v>112</v>
      </c>
      <c r="BM11" s="248" t="s">
        <v>190</v>
      </c>
    </row>
    <row r="12" spans="1:65" s="226" customFormat="1" ht="30" customHeight="1">
      <c r="A12" s="233" t="s">
        <v>218</v>
      </c>
      <c r="B12" s="237" t="s">
        <v>222</v>
      </c>
      <c r="C12" s="247" t="s">
        <v>223</v>
      </c>
      <c r="D12" s="237" t="s">
        <v>170</v>
      </c>
      <c r="E12" s="247" t="s">
        <v>225</v>
      </c>
      <c r="F12" s="233"/>
      <c r="G12" s="259"/>
      <c r="H12" s="233" t="s">
        <v>172</v>
      </c>
      <c r="I12" s="260">
        <v>10901</v>
      </c>
      <c r="J12" s="233"/>
      <c r="K12" s="260"/>
      <c r="L12" s="233" t="s">
        <v>172</v>
      </c>
      <c r="M12" s="260">
        <v>5665</v>
      </c>
      <c r="N12" s="260">
        <v>4944</v>
      </c>
      <c r="O12" s="260"/>
      <c r="P12" s="260"/>
      <c r="Q12" s="233" t="s">
        <v>172</v>
      </c>
      <c r="R12" s="260">
        <v>9999</v>
      </c>
      <c r="S12" s="262">
        <v>12177</v>
      </c>
      <c r="T12" s="233" t="s">
        <v>174</v>
      </c>
      <c r="U12" s="260">
        <v>10747</v>
      </c>
      <c r="V12" s="233" t="s">
        <v>11</v>
      </c>
      <c r="W12" s="260">
        <v>9922</v>
      </c>
      <c r="X12" s="260">
        <v>8767</v>
      </c>
      <c r="Y12" s="233" t="s">
        <v>174</v>
      </c>
      <c r="Z12" s="260">
        <v>7337</v>
      </c>
      <c r="AA12" s="233" t="s">
        <v>11</v>
      </c>
      <c r="AB12" s="260">
        <v>6512</v>
      </c>
      <c r="AC12" s="260">
        <v>8756</v>
      </c>
      <c r="AD12" s="233" t="s">
        <v>174</v>
      </c>
      <c r="AE12" s="260">
        <v>7326</v>
      </c>
      <c r="AF12" s="233" t="s">
        <v>11</v>
      </c>
      <c r="AG12" s="260">
        <v>6501</v>
      </c>
      <c r="AH12" s="260"/>
      <c r="AI12" s="260"/>
      <c r="AJ12" s="260" t="s">
        <v>172</v>
      </c>
      <c r="AK12" s="260">
        <v>6933</v>
      </c>
      <c r="AL12" s="260">
        <v>11110</v>
      </c>
      <c r="AM12" s="262">
        <v>8319</v>
      </c>
      <c r="AN12" s="262">
        <v>11288</v>
      </c>
      <c r="AO12" s="262">
        <v>16764</v>
      </c>
      <c r="AP12" s="262">
        <v>15950</v>
      </c>
      <c r="AQ12" s="262">
        <v>25012</v>
      </c>
      <c r="AR12" s="273">
        <v>10450</v>
      </c>
      <c r="AS12" s="262">
        <v>7018</v>
      </c>
      <c r="AT12" s="262">
        <v>16445</v>
      </c>
      <c r="AU12" s="262">
        <v>11036</v>
      </c>
      <c r="AV12" s="279"/>
      <c r="AW12" s="273"/>
      <c r="AX12" s="273" t="s">
        <v>191</v>
      </c>
      <c r="AY12" s="273">
        <v>1500</v>
      </c>
      <c r="AZ12" s="279"/>
      <c r="BA12" s="273"/>
      <c r="BB12" s="273" t="s">
        <v>191</v>
      </c>
      <c r="BC12" s="273">
        <v>3000</v>
      </c>
      <c r="BD12" s="285"/>
      <c r="BE12" s="286"/>
      <c r="BF12" s="285" t="s">
        <v>28</v>
      </c>
      <c r="BG12" s="285"/>
      <c r="BH12" s="290" t="s">
        <v>42</v>
      </c>
      <c r="BI12" s="290" t="s">
        <v>228</v>
      </c>
      <c r="BJ12" s="279" t="s">
        <v>194</v>
      </c>
      <c r="BK12" s="296" t="s">
        <v>282</v>
      </c>
      <c r="BL12" s="296" t="s">
        <v>77</v>
      </c>
      <c r="BM12" s="309" t="s">
        <v>334</v>
      </c>
    </row>
    <row r="13" spans="1:65" s="226" customFormat="1" ht="45" customHeight="1">
      <c r="A13" s="233" t="s">
        <v>229</v>
      </c>
      <c r="B13" s="235" t="s">
        <v>168</v>
      </c>
      <c r="C13" s="246" t="s">
        <v>192</v>
      </c>
      <c r="D13" s="236" t="s">
        <v>231</v>
      </c>
      <c r="E13" s="245" t="s">
        <v>63</v>
      </c>
      <c r="F13" s="233"/>
      <c r="G13" s="260"/>
      <c r="H13" s="233" t="s">
        <v>172</v>
      </c>
      <c r="I13" s="260">
        <v>11957</v>
      </c>
      <c r="J13" s="233"/>
      <c r="K13" s="260"/>
      <c r="L13" s="233" t="s">
        <v>172</v>
      </c>
      <c r="M13" s="260">
        <v>6468</v>
      </c>
      <c r="N13" s="260">
        <v>5412</v>
      </c>
      <c r="O13" s="260"/>
      <c r="P13" s="260"/>
      <c r="Q13" s="233" t="s">
        <v>172</v>
      </c>
      <c r="R13" s="260">
        <v>10802</v>
      </c>
      <c r="S13" s="260">
        <v>11462</v>
      </c>
      <c r="T13" s="260"/>
      <c r="U13" s="260"/>
      <c r="V13" s="260" t="s">
        <v>189</v>
      </c>
      <c r="W13" s="260">
        <v>11462</v>
      </c>
      <c r="X13" s="260">
        <v>7920</v>
      </c>
      <c r="Y13" s="260"/>
      <c r="Z13" s="260"/>
      <c r="AA13" s="260" t="s">
        <v>189</v>
      </c>
      <c r="AB13" s="260">
        <f>X13</f>
        <v>7920</v>
      </c>
      <c r="AC13" s="260">
        <v>7920</v>
      </c>
      <c r="AD13" s="260"/>
      <c r="AE13" s="260"/>
      <c r="AF13" s="260" t="s">
        <v>189</v>
      </c>
      <c r="AG13" s="260">
        <f>AC13</f>
        <v>7920</v>
      </c>
      <c r="AH13" s="233" t="s">
        <v>201</v>
      </c>
      <c r="AI13" s="260">
        <v>8382</v>
      </c>
      <c r="AJ13" s="233" t="s">
        <v>203</v>
      </c>
      <c r="AK13" s="260">
        <v>7557</v>
      </c>
      <c r="AL13" s="260">
        <v>10307</v>
      </c>
      <c r="AM13" s="260">
        <v>9361</v>
      </c>
      <c r="AN13" s="260">
        <v>12727</v>
      </c>
      <c r="AO13" s="268">
        <v>17182</v>
      </c>
      <c r="AP13" s="269">
        <v>17182</v>
      </c>
      <c r="AQ13" s="269">
        <v>28182</v>
      </c>
      <c r="AR13" s="260">
        <v>9757</v>
      </c>
      <c r="AS13" s="260">
        <v>7203</v>
      </c>
      <c r="AT13" s="260">
        <v>15235</v>
      </c>
      <c r="AU13" s="260">
        <v>10208</v>
      </c>
      <c r="AV13" s="260"/>
      <c r="AW13" s="260"/>
      <c r="AX13" s="260" t="s">
        <v>191</v>
      </c>
      <c r="AY13" s="260">
        <v>1000</v>
      </c>
      <c r="AZ13" s="260"/>
      <c r="BA13" s="260"/>
      <c r="BB13" s="260" t="s">
        <v>191</v>
      </c>
      <c r="BC13" s="260">
        <v>3000</v>
      </c>
      <c r="BD13" s="233"/>
      <c r="BE13" s="259"/>
      <c r="BF13" s="233" t="s">
        <v>28</v>
      </c>
      <c r="BG13" s="233"/>
      <c r="BH13" s="291" t="s">
        <v>42</v>
      </c>
      <c r="BI13" s="232" t="s">
        <v>94</v>
      </c>
      <c r="BJ13" s="243"/>
      <c r="BK13" s="238" t="s">
        <v>142</v>
      </c>
      <c r="BL13" s="301" t="s">
        <v>233</v>
      </c>
      <c r="BM13" s="245" t="s">
        <v>237</v>
      </c>
    </row>
    <row r="14" spans="1:65" s="226" customFormat="1" ht="30" customHeight="1">
      <c r="A14" s="233" t="s">
        <v>239</v>
      </c>
      <c r="B14" s="233" t="s">
        <v>240</v>
      </c>
      <c r="C14" s="243" t="s">
        <v>241</v>
      </c>
      <c r="D14" s="233" t="s">
        <v>242</v>
      </c>
      <c r="E14" s="243" t="s">
        <v>210</v>
      </c>
      <c r="F14" s="233"/>
      <c r="G14" s="259"/>
      <c r="H14" s="233" t="s">
        <v>172</v>
      </c>
      <c r="I14" s="260">
        <v>11825</v>
      </c>
      <c r="J14" s="233"/>
      <c r="K14" s="260"/>
      <c r="L14" s="233" t="s">
        <v>172</v>
      </c>
      <c r="M14" s="260">
        <v>6226</v>
      </c>
      <c r="N14" s="260">
        <v>5170</v>
      </c>
      <c r="O14" s="260"/>
      <c r="P14" s="260"/>
      <c r="Q14" s="233" t="s">
        <v>172</v>
      </c>
      <c r="R14" s="260">
        <v>10560</v>
      </c>
      <c r="S14" s="260">
        <v>11275</v>
      </c>
      <c r="T14" s="260"/>
      <c r="U14" s="260"/>
      <c r="V14" s="260" t="s">
        <v>189</v>
      </c>
      <c r="W14" s="260">
        <f>S14</f>
        <v>11275</v>
      </c>
      <c r="X14" s="260">
        <v>7678</v>
      </c>
      <c r="Y14" s="260"/>
      <c r="Z14" s="260"/>
      <c r="AA14" s="260" t="s">
        <v>189</v>
      </c>
      <c r="AB14" s="260">
        <v>7678</v>
      </c>
      <c r="AC14" s="260">
        <v>7678</v>
      </c>
      <c r="AD14" s="260"/>
      <c r="AE14" s="260"/>
      <c r="AF14" s="260" t="s">
        <v>189</v>
      </c>
      <c r="AG14" s="260">
        <f>AC14</f>
        <v>7678</v>
      </c>
      <c r="AH14" s="260" t="s">
        <v>215</v>
      </c>
      <c r="AI14" s="260">
        <v>8140</v>
      </c>
      <c r="AJ14" s="233" t="s">
        <v>4</v>
      </c>
      <c r="AK14" s="260">
        <v>7315</v>
      </c>
      <c r="AL14" s="260">
        <v>10065</v>
      </c>
      <c r="AM14" s="260">
        <v>9119</v>
      </c>
      <c r="AN14" s="260">
        <v>12826</v>
      </c>
      <c r="AO14" s="268">
        <v>16940</v>
      </c>
      <c r="AP14" s="269">
        <v>16940</v>
      </c>
      <c r="AQ14" s="269">
        <v>28402</v>
      </c>
      <c r="AR14" s="260">
        <v>9515</v>
      </c>
      <c r="AS14" s="262">
        <v>7271</v>
      </c>
      <c r="AT14" s="260">
        <v>15235</v>
      </c>
      <c r="AU14" s="260">
        <v>10208</v>
      </c>
      <c r="AV14" s="260"/>
      <c r="AW14" s="260"/>
      <c r="AX14" s="260" t="s">
        <v>191</v>
      </c>
      <c r="AY14" s="260">
        <v>1500</v>
      </c>
      <c r="AZ14" s="260"/>
      <c r="BA14" s="260"/>
      <c r="BB14" s="260" t="s">
        <v>191</v>
      </c>
      <c r="BC14" s="260">
        <v>3000</v>
      </c>
      <c r="BD14" s="233"/>
      <c r="BE14" s="259"/>
      <c r="BF14" s="233" t="s">
        <v>28</v>
      </c>
      <c r="BG14" s="233"/>
      <c r="BH14" s="288" t="s">
        <v>42</v>
      </c>
      <c r="BI14" s="232" t="s">
        <v>243</v>
      </c>
      <c r="BJ14" s="243" t="s">
        <v>194</v>
      </c>
      <c r="BK14" s="233" t="s">
        <v>244</v>
      </c>
      <c r="BL14" s="300" t="s">
        <v>99</v>
      </c>
      <c r="BM14" s="243" t="s">
        <v>128</v>
      </c>
    </row>
    <row r="15" spans="1:65" s="226" customFormat="1" ht="44.25" customHeight="1">
      <c r="A15" s="233" t="s">
        <v>246</v>
      </c>
      <c r="B15" s="236" t="s">
        <v>248</v>
      </c>
      <c r="C15" s="246" t="s">
        <v>249</v>
      </c>
      <c r="D15" s="236" t="s">
        <v>250</v>
      </c>
      <c r="E15" s="246" t="s">
        <v>254</v>
      </c>
      <c r="F15" s="233"/>
      <c r="G15" s="260"/>
      <c r="H15" s="233" t="s">
        <v>172</v>
      </c>
      <c r="I15" s="262">
        <v>11220</v>
      </c>
      <c r="J15" s="233"/>
      <c r="K15" s="260"/>
      <c r="L15" s="233" t="s">
        <v>172</v>
      </c>
      <c r="M15" s="260"/>
      <c r="N15" s="262">
        <v>5005</v>
      </c>
      <c r="O15" s="260"/>
      <c r="P15" s="260"/>
      <c r="Q15" s="233" t="s">
        <v>172</v>
      </c>
      <c r="R15" s="262">
        <v>9845</v>
      </c>
      <c r="S15" s="262">
        <v>12375</v>
      </c>
      <c r="T15" s="233"/>
      <c r="U15" s="260"/>
      <c r="V15" s="260" t="s">
        <v>189</v>
      </c>
      <c r="W15" s="262">
        <v>10538</v>
      </c>
      <c r="X15" s="262">
        <v>8063</v>
      </c>
      <c r="Y15" s="260"/>
      <c r="Z15" s="260"/>
      <c r="AA15" s="260" t="s">
        <v>189</v>
      </c>
      <c r="AB15" s="262">
        <f>X15</f>
        <v>8063</v>
      </c>
      <c r="AC15" s="262">
        <v>8063</v>
      </c>
      <c r="AD15" s="260"/>
      <c r="AE15" s="260"/>
      <c r="AF15" s="260" t="s">
        <v>189</v>
      </c>
      <c r="AG15" s="262">
        <f>AC15</f>
        <v>8063</v>
      </c>
      <c r="AH15" s="260"/>
      <c r="AI15" s="260"/>
      <c r="AJ15" s="260" t="s">
        <v>172</v>
      </c>
      <c r="AK15" s="262">
        <v>7054</v>
      </c>
      <c r="AL15" s="262">
        <v>11165</v>
      </c>
      <c r="AM15" s="262">
        <v>8404</v>
      </c>
      <c r="AN15" s="262">
        <v>11935</v>
      </c>
      <c r="AO15" s="269">
        <v>16610</v>
      </c>
      <c r="AP15" s="269">
        <v>16610</v>
      </c>
      <c r="AQ15" s="269">
        <v>26774</v>
      </c>
      <c r="AR15" s="262">
        <v>10615</v>
      </c>
      <c r="AS15" s="262">
        <v>6754</v>
      </c>
      <c r="AT15" s="260">
        <v>14278</v>
      </c>
      <c r="AU15" s="260">
        <v>8646</v>
      </c>
      <c r="AV15" s="260"/>
      <c r="AW15" s="260"/>
      <c r="AX15" s="260" t="s">
        <v>191</v>
      </c>
      <c r="AY15" s="260">
        <v>1000</v>
      </c>
      <c r="AZ15" s="260"/>
      <c r="BA15" s="260"/>
      <c r="BB15" s="260" t="s">
        <v>191</v>
      </c>
      <c r="BC15" s="260">
        <v>3000</v>
      </c>
      <c r="BD15" s="233"/>
      <c r="BE15" s="259"/>
      <c r="BF15" s="233" t="s">
        <v>28</v>
      </c>
      <c r="BG15" s="233"/>
      <c r="BH15" s="232" t="s">
        <v>60</v>
      </c>
      <c r="BI15" s="232" t="s">
        <v>255</v>
      </c>
      <c r="BJ15" s="243" t="s">
        <v>194</v>
      </c>
      <c r="BK15" s="235" t="s">
        <v>333</v>
      </c>
      <c r="BL15" s="304" t="s">
        <v>257</v>
      </c>
      <c r="BM15" s="246" t="s">
        <v>87</v>
      </c>
    </row>
    <row r="16" spans="1:65" s="226" customFormat="1" ht="46.5" customHeight="1">
      <c r="A16" s="233" t="s">
        <v>258</v>
      </c>
      <c r="B16" s="238" t="s">
        <v>143</v>
      </c>
      <c r="C16" s="246" t="s">
        <v>260</v>
      </c>
      <c r="D16" s="236" t="s">
        <v>36</v>
      </c>
      <c r="E16" s="255" t="s">
        <v>328</v>
      </c>
      <c r="F16" s="233"/>
      <c r="G16" s="259"/>
      <c r="H16" s="233" t="s">
        <v>172</v>
      </c>
      <c r="I16" s="260">
        <v>10901</v>
      </c>
      <c r="J16" s="233"/>
      <c r="K16" s="260"/>
      <c r="L16" s="233" t="s">
        <v>172</v>
      </c>
      <c r="M16" s="260">
        <v>5665</v>
      </c>
      <c r="N16" s="260">
        <v>4944</v>
      </c>
      <c r="O16" s="260"/>
      <c r="P16" s="260"/>
      <c r="Q16" s="233" t="s">
        <v>172</v>
      </c>
      <c r="R16" s="260">
        <v>9999</v>
      </c>
      <c r="S16" s="262">
        <v>12177</v>
      </c>
      <c r="T16" s="233" t="s">
        <v>174</v>
      </c>
      <c r="U16" s="260">
        <v>10747</v>
      </c>
      <c r="V16" s="233" t="s">
        <v>11</v>
      </c>
      <c r="W16" s="260">
        <v>9922</v>
      </c>
      <c r="X16" s="260">
        <v>8767</v>
      </c>
      <c r="Y16" s="233" t="s">
        <v>174</v>
      </c>
      <c r="Z16" s="260">
        <v>7337</v>
      </c>
      <c r="AA16" s="233" t="s">
        <v>11</v>
      </c>
      <c r="AB16" s="260">
        <v>6512</v>
      </c>
      <c r="AC16" s="260">
        <v>8756</v>
      </c>
      <c r="AD16" s="233" t="s">
        <v>174</v>
      </c>
      <c r="AE16" s="260">
        <v>7326</v>
      </c>
      <c r="AF16" s="233" t="s">
        <v>11</v>
      </c>
      <c r="AG16" s="260">
        <v>6501</v>
      </c>
      <c r="AH16" s="260"/>
      <c r="AI16" s="260"/>
      <c r="AJ16" s="260" t="s">
        <v>172</v>
      </c>
      <c r="AK16" s="260">
        <v>6933</v>
      </c>
      <c r="AL16" s="260">
        <v>11110</v>
      </c>
      <c r="AM16" s="262">
        <v>8319</v>
      </c>
      <c r="AN16" s="262">
        <v>11288</v>
      </c>
      <c r="AO16" s="269">
        <v>16764</v>
      </c>
      <c r="AP16" s="269">
        <v>15950</v>
      </c>
      <c r="AQ16" s="269">
        <v>25012</v>
      </c>
      <c r="AR16" s="262">
        <v>10450</v>
      </c>
      <c r="AS16" s="262">
        <v>7018</v>
      </c>
      <c r="AT16" s="262">
        <v>16445</v>
      </c>
      <c r="AU16" s="262">
        <v>11036</v>
      </c>
      <c r="AV16" s="243"/>
      <c r="AW16" s="260"/>
      <c r="AX16" s="260" t="s">
        <v>191</v>
      </c>
      <c r="AY16" s="260">
        <v>1000</v>
      </c>
      <c r="AZ16" s="243"/>
      <c r="BA16" s="260"/>
      <c r="BB16" s="260" t="s">
        <v>191</v>
      </c>
      <c r="BC16" s="260">
        <v>3000</v>
      </c>
      <c r="BD16" s="233"/>
      <c r="BE16" s="259"/>
      <c r="BF16" s="233" t="s">
        <v>28</v>
      </c>
      <c r="BG16" s="233"/>
      <c r="BH16" s="232" t="s">
        <v>42</v>
      </c>
      <c r="BI16" s="232" t="s">
        <v>234</v>
      </c>
      <c r="BJ16" s="243"/>
      <c r="BK16" s="238" t="s">
        <v>214</v>
      </c>
      <c r="BL16" s="305" t="s">
        <v>329</v>
      </c>
      <c r="BM16" s="246" t="s">
        <v>330</v>
      </c>
    </row>
    <row r="17" spans="1:67" s="226" customFormat="1" ht="30" customHeight="1">
      <c r="A17" s="233" t="s">
        <v>262</v>
      </c>
      <c r="B17" s="236" t="s">
        <v>263</v>
      </c>
      <c r="C17" s="246" t="s">
        <v>265</v>
      </c>
      <c r="D17" s="236" t="s">
        <v>266</v>
      </c>
      <c r="E17" s="248" t="s">
        <v>349</v>
      </c>
      <c r="F17" s="233"/>
      <c r="G17" s="260"/>
      <c r="H17" s="233" t="s">
        <v>172</v>
      </c>
      <c r="I17" s="260">
        <v>11445</v>
      </c>
      <c r="J17" s="233"/>
      <c r="K17" s="260"/>
      <c r="L17" s="233" t="s">
        <v>172</v>
      </c>
      <c r="M17" s="260">
        <v>5879</v>
      </c>
      <c r="N17" s="260">
        <v>5725</v>
      </c>
      <c r="O17" s="260"/>
      <c r="P17" s="260"/>
      <c r="Q17" s="233" t="s">
        <v>172</v>
      </c>
      <c r="R17" s="260">
        <v>10290</v>
      </c>
      <c r="S17" s="260">
        <v>10868</v>
      </c>
      <c r="T17" s="260"/>
      <c r="U17" s="260"/>
      <c r="V17" s="260" t="s">
        <v>189</v>
      </c>
      <c r="W17" s="260">
        <f>S17</f>
        <v>10868</v>
      </c>
      <c r="X17" s="260">
        <v>6848</v>
      </c>
      <c r="Y17" s="260"/>
      <c r="Z17" s="260"/>
      <c r="AA17" s="260" t="s">
        <v>189</v>
      </c>
      <c r="AB17" s="260">
        <f>X17</f>
        <v>6848</v>
      </c>
      <c r="AC17" s="260">
        <v>6848</v>
      </c>
      <c r="AD17" s="260"/>
      <c r="AE17" s="260"/>
      <c r="AF17" s="260" t="s">
        <v>189</v>
      </c>
      <c r="AG17" s="260">
        <f>AC17</f>
        <v>6848</v>
      </c>
      <c r="AH17" s="260"/>
      <c r="AI17" s="260"/>
      <c r="AJ17" s="260" t="s">
        <v>172</v>
      </c>
      <c r="AK17" s="260">
        <v>7859</v>
      </c>
      <c r="AL17" s="260">
        <v>9795</v>
      </c>
      <c r="AM17" s="260">
        <v>8382</v>
      </c>
      <c r="AN17" s="260">
        <v>10916</v>
      </c>
      <c r="AO17" s="268">
        <v>16500</v>
      </c>
      <c r="AP17" s="269">
        <v>16500</v>
      </c>
      <c r="AQ17" s="269">
        <v>29000</v>
      </c>
      <c r="AR17" s="260">
        <v>9245</v>
      </c>
      <c r="AS17" s="260">
        <v>6574</v>
      </c>
      <c r="AT17" s="260">
        <v>14883</v>
      </c>
      <c r="AU17" s="260">
        <v>9856</v>
      </c>
      <c r="AV17" s="260"/>
      <c r="AW17" s="260"/>
      <c r="AX17" s="260" t="s">
        <v>191</v>
      </c>
      <c r="AY17" s="260">
        <v>1000</v>
      </c>
      <c r="AZ17" s="260"/>
      <c r="BA17" s="260"/>
      <c r="BB17" s="260" t="s">
        <v>191</v>
      </c>
      <c r="BC17" s="260">
        <v>3000</v>
      </c>
      <c r="BD17" s="233"/>
      <c r="BE17" s="259"/>
      <c r="BF17" s="233" t="s">
        <v>28</v>
      </c>
      <c r="BG17" s="233"/>
      <c r="BH17" s="232" t="s">
        <v>42</v>
      </c>
      <c r="BI17" s="232" t="s">
        <v>267</v>
      </c>
      <c r="BJ17" s="243"/>
      <c r="BK17" s="238" t="s">
        <v>336</v>
      </c>
      <c r="BL17" s="302" t="s">
        <v>269</v>
      </c>
      <c r="BM17" s="248" t="s">
        <v>96</v>
      </c>
      <c r="BN17" s="315"/>
    </row>
    <row r="18" spans="1:67" s="226" customFormat="1" ht="30" customHeight="1">
      <c r="A18" s="233" t="s">
        <v>140</v>
      </c>
      <c r="B18" s="236" t="s">
        <v>101</v>
      </c>
      <c r="C18" s="246" t="s">
        <v>206</v>
      </c>
      <c r="D18" s="236" t="s">
        <v>270</v>
      </c>
      <c r="E18" s="246" t="s">
        <v>7</v>
      </c>
      <c r="F18" s="233" t="s">
        <v>201</v>
      </c>
      <c r="G18" s="260">
        <v>11143</v>
      </c>
      <c r="H18" s="233" t="s">
        <v>271</v>
      </c>
      <c r="I18" s="260">
        <v>10318</v>
      </c>
      <c r="J18" s="233" t="s">
        <v>201</v>
      </c>
      <c r="K18" s="260">
        <v>4592</v>
      </c>
      <c r="L18" s="233" t="s">
        <v>271</v>
      </c>
      <c r="M18" s="260">
        <v>3800</v>
      </c>
      <c r="N18" s="260">
        <v>5111</v>
      </c>
      <c r="O18" s="233" t="s">
        <v>201</v>
      </c>
      <c r="P18" s="260">
        <v>9988</v>
      </c>
      <c r="Q18" s="233" t="s">
        <v>271</v>
      </c>
      <c r="R18" s="260">
        <v>9163</v>
      </c>
      <c r="S18" s="260">
        <v>10057</v>
      </c>
      <c r="T18" s="260"/>
      <c r="U18" s="260"/>
      <c r="V18" s="260" t="s">
        <v>189</v>
      </c>
      <c r="W18" s="260">
        <f>S18</f>
        <v>10057</v>
      </c>
      <c r="X18" s="260">
        <v>6154</v>
      </c>
      <c r="Y18" s="260"/>
      <c r="Z18" s="260"/>
      <c r="AA18" s="260" t="s">
        <v>189</v>
      </c>
      <c r="AB18" s="260">
        <f>X18</f>
        <v>6154</v>
      </c>
      <c r="AC18" s="260">
        <v>6154</v>
      </c>
      <c r="AD18" s="260"/>
      <c r="AE18" s="260"/>
      <c r="AF18" s="260" t="s">
        <v>189</v>
      </c>
      <c r="AG18" s="260">
        <f>AC18</f>
        <v>6154</v>
      </c>
      <c r="AH18" s="233" t="s">
        <v>201</v>
      </c>
      <c r="AI18" s="260">
        <v>6922</v>
      </c>
      <c r="AJ18" s="233" t="s">
        <v>203</v>
      </c>
      <c r="AK18" s="260">
        <v>6130</v>
      </c>
      <c r="AL18" s="260">
        <v>6226</v>
      </c>
      <c r="AM18" s="260">
        <v>9273</v>
      </c>
      <c r="AN18" s="260">
        <v>11913</v>
      </c>
      <c r="AO18" s="268">
        <v>16698</v>
      </c>
      <c r="AP18" s="269">
        <v>16698</v>
      </c>
      <c r="AQ18" s="269">
        <v>28028</v>
      </c>
      <c r="AR18" s="260">
        <v>8943</v>
      </c>
      <c r="AS18" s="260">
        <v>6494</v>
      </c>
      <c r="AT18" s="260">
        <v>15191</v>
      </c>
      <c r="AU18" s="260">
        <v>10461</v>
      </c>
      <c r="AV18" s="280"/>
      <c r="AW18" s="260"/>
      <c r="AX18" s="260" t="s">
        <v>191</v>
      </c>
      <c r="AY18" s="260">
        <v>1500</v>
      </c>
      <c r="AZ18" s="260"/>
      <c r="BA18" s="260"/>
      <c r="BB18" s="260" t="s">
        <v>191</v>
      </c>
      <c r="BC18" s="260">
        <v>3000</v>
      </c>
      <c r="BD18" s="233" t="s">
        <v>201</v>
      </c>
      <c r="BE18" s="260">
        <v>2733</v>
      </c>
      <c r="BF18" s="233" t="s">
        <v>271</v>
      </c>
      <c r="BG18" s="260">
        <v>1941</v>
      </c>
      <c r="BH18" s="232" t="s">
        <v>42</v>
      </c>
      <c r="BI18" s="232" t="s">
        <v>24</v>
      </c>
      <c r="BJ18" s="243" t="s">
        <v>194</v>
      </c>
      <c r="BK18" s="240" t="s">
        <v>339</v>
      </c>
      <c r="BL18" s="302" t="s">
        <v>273</v>
      </c>
      <c r="BM18" s="246" t="s">
        <v>276</v>
      </c>
    </row>
    <row r="19" spans="1:67" s="226" customFormat="1" ht="30" customHeight="1">
      <c r="A19" s="232" t="s">
        <v>277</v>
      </c>
      <c r="B19" s="236" t="s">
        <v>221</v>
      </c>
      <c r="C19" s="246" t="s">
        <v>114</v>
      </c>
      <c r="D19" s="236" t="s">
        <v>213</v>
      </c>
      <c r="E19" s="246" t="s">
        <v>133</v>
      </c>
      <c r="F19" s="233"/>
      <c r="G19" s="260"/>
      <c r="H19" s="233" t="s">
        <v>172</v>
      </c>
      <c r="I19" s="263">
        <v>11220</v>
      </c>
      <c r="J19" s="233"/>
      <c r="K19" s="260"/>
      <c r="L19" s="233" t="s">
        <v>172</v>
      </c>
      <c r="M19" s="260">
        <v>5549</v>
      </c>
      <c r="N19" s="263">
        <v>5005</v>
      </c>
      <c r="O19" s="260"/>
      <c r="P19" s="260"/>
      <c r="Q19" s="233" t="s">
        <v>172</v>
      </c>
      <c r="R19" s="260">
        <v>9823</v>
      </c>
      <c r="S19" s="263">
        <v>12375</v>
      </c>
      <c r="T19" s="233"/>
      <c r="U19" s="260"/>
      <c r="V19" s="260" t="s">
        <v>189</v>
      </c>
      <c r="W19" s="263">
        <v>10538</v>
      </c>
      <c r="X19" s="263">
        <v>8063</v>
      </c>
      <c r="Y19" s="260"/>
      <c r="Z19" s="260"/>
      <c r="AA19" s="260" t="s">
        <v>189</v>
      </c>
      <c r="AB19" s="263">
        <v>8063</v>
      </c>
      <c r="AC19" s="263">
        <v>8063</v>
      </c>
      <c r="AD19" s="260"/>
      <c r="AE19" s="260"/>
      <c r="AF19" s="260" t="s">
        <v>189</v>
      </c>
      <c r="AG19" s="263">
        <v>8063</v>
      </c>
      <c r="AH19" s="260"/>
      <c r="AI19" s="260"/>
      <c r="AJ19" s="260" t="s">
        <v>172</v>
      </c>
      <c r="AK19" s="263">
        <v>7054</v>
      </c>
      <c r="AL19" s="263">
        <v>11165</v>
      </c>
      <c r="AM19" s="263">
        <v>8404</v>
      </c>
      <c r="AN19" s="263">
        <v>11935</v>
      </c>
      <c r="AO19" s="270">
        <v>16610</v>
      </c>
      <c r="AP19" s="270">
        <v>16610</v>
      </c>
      <c r="AQ19" s="269">
        <v>26774</v>
      </c>
      <c r="AR19" s="263">
        <v>10615</v>
      </c>
      <c r="AS19" s="263">
        <v>6754</v>
      </c>
      <c r="AT19" s="260">
        <v>14278</v>
      </c>
      <c r="AU19" s="260">
        <v>8646</v>
      </c>
      <c r="AV19" s="260"/>
      <c r="AW19" s="260"/>
      <c r="AX19" s="260"/>
      <c r="AY19" s="260"/>
      <c r="AZ19" s="260"/>
      <c r="BA19" s="260"/>
      <c r="BB19" s="260"/>
      <c r="BC19" s="260"/>
      <c r="BD19" s="233"/>
      <c r="BE19" s="259"/>
      <c r="BF19" s="233"/>
      <c r="BG19" s="233"/>
      <c r="BH19" s="232"/>
      <c r="BI19" s="232"/>
      <c r="BJ19" s="243"/>
      <c r="BK19" s="240" t="s">
        <v>348</v>
      </c>
      <c r="BL19" s="240" t="s">
        <v>83</v>
      </c>
      <c r="BM19" s="248" t="s">
        <v>264</v>
      </c>
    </row>
    <row r="20" spans="1:67" s="226" customFormat="1" ht="30" customHeight="1">
      <c r="A20" s="232" t="s">
        <v>279</v>
      </c>
      <c r="B20" s="236" t="s">
        <v>283</v>
      </c>
      <c r="C20" s="246" t="s">
        <v>285</v>
      </c>
      <c r="D20" s="236" t="s">
        <v>286</v>
      </c>
      <c r="E20" s="246" t="s">
        <v>184</v>
      </c>
      <c r="F20" s="233"/>
      <c r="G20" s="260"/>
      <c r="H20" s="233"/>
      <c r="I20" s="260"/>
      <c r="J20" s="233"/>
      <c r="K20" s="260"/>
      <c r="L20" s="233"/>
      <c r="M20" s="260"/>
      <c r="N20" s="260"/>
      <c r="O20" s="260"/>
      <c r="P20" s="260"/>
      <c r="Q20" s="233"/>
      <c r="R20" s="260"/>
      <c r="S20" s="260"/>
      <c r="T20" s="233"/>
      <c r="U20" s="260"/>
      <c r="V20" s="260"/>
      <c r="W20" s="260"/>
      <c r="X20" s="260"/>
      <c r="Y20" s="260"/>
      <c r="Z20" s="260"/>
      <c r="AA20" s="260"/>
      <c r="AB20" s="260"/>
      <c r="AC20" s="260"/>
      <c r="AD20" s="260"/>
      <c r="AE20" s="260"/>
      <c r="AF20" s="260"/>
      <c r="AG20" s="260"/>
      <c r="AH20" s="260"/>
      <c r="AI20" s="260"/>
      <c r="AJ20" s="260"/>
      <c r="AK20" s="260"/>
      <c r="AL20" s="260"/>
      <c r="AM20" s="260"/>
      <c r="AN20" s="260"/>
      <c r="AO20" s="268"/>
      <c r="AP20" s="268"/>
      <c r="AQ20" s="268"/>
      <c r="AR20" s="260"/>
      <c r="AS20" s="260"/>
      <c r="AT20" s="260"/>
      <c r="AU20" s="260"/>
      <c r="AV20" s="260"/>
      <c r="AW20" s="260"/>
      <c r="AX20" s="260" t="s">
        <v>191</v>
      </c>
      <c r="AY20" s="260">
        <v>1500</v>
      </c>
      <c r="AZ20" s="260"/>
      <c r="BA20" s="260"/>
      <c r="BB20" s="260" t="s">
        <v>191</v>
      </c>
      <c r="BC20" s="260">
        <v>3000</v>
      </c>
      <c r="BD20" s="233"/>
      <c r="BE20" s="259"/>
      <c r="BF20" s="233" t="s">
        <v>28</v>
      </c>
      <c r="BG20" s="233"/>
      <c r="BH20" s="232" t="s">
        <v>42</v>
      </c>
      <c r="BI20" s="232" t="s">
        <v>287</v>
      </c>
      <c r="BJ20" s="243"/>
      <c r="BK20" s="236"/>
      <c r="BL20" s="240" t="s">
        <v>89</v>
      </c>
      <c r="BM20" s="248" t="s">
        <v>264</v>
      </c>
    </row>
    <row r="21" spans="1:67" s="226" customFormat="1" ht="30" customHeight="1">
      <c r="A21" s="233" t="s">
        <v>288</v>
      </c>
      <c r="B21" s="236" t="s">
        <v>289</v>
      </c>
      <c r="C21" s="246" t="s">
        <v>43</v>
      </c>
      <c r="D21" s="236" t="s">
        <v>100</v>
      </c>
      <c r="E21" s="246" t="s">
        <v>291</v>
      </c>
      <c r="F21" s="233"/>
      <c r="G21" s="260"/>
      <c r="H21" s="233" t="s">
        <v>172</v>
      </c>
      <c r="I21" s="260">
        <v>11445</v>
      </c>
      <c r="J21" s="233"/>
      <c r="K21" s="260"/>
      <c r="L21" s="233" t="s">
        <v>172</v>
      </c>
      <c r="M21" s="260">
        <v>5879</v>
      </c>
      <c r="N21" s="260">
        <v>5725</v>
      </c>
      <c r="O21" s="260"/>
      <c r="P21" s="260"/>
      <c r="Q21" s="233" t="s">
        <v>172</v>
      </c>
      <c r="R21" s="260">
        <v>10290</v>
      </c>
      <c r="S21" s="260">
        <v>10868</v>
      </c>
      <c r="T21" s="260"/>
      <c r="U21" s="260"/>
      <c r="V21" s="260" t="s">
        <v>189</v>
      </c>
      <c r="W21" s="260">
        <f t="shared" ref="W21:W26" si="0">S21</f>
        <v>10868</v>
      </c>
      <c r="X21" s="260">
        <v>6848</v>
      </c>
      <c r="Y21" s="260"/>
      <c r="Z21" s="260"/>
      <c r="AA21" s="260" t="s">
        <v>189</v>
      </c>
      <c r="AB21" s="260">
        <f>X21</f>
        <v>6848</v>
      </c>
      <c r="AC21" s="260">
        <v>6848</v>
      </c>
      <c r="AD21" s="260"/>
      <c r="AE21" s="260"/>
      <c r="AF21" s="260" t="s">
        <v>189</v>
      </c>
      <c r="AG21" s="260">
        <f t="shared" ref="AG21:AG26" si="1">AC21</f>
        <v>6848</v>
      </c>
      <c r="AH21" s="260"/>
      <c r="AI21" s="260"/>
      <c r="AJ21" s="260" t="s">
        <v>172</v>
      </c>
      <c r="AK21" s="260">
        <v>7859</v>
      </c>
      <c r="AL21" s="260">
        <v>9795</v>
      </c>
      <c r="AM21" s="260">
        <v>8382</v>
      </c>
      <c r="AN21" s="260">
        <v>10916</v>
      </c>
      <c r="AO21" s="268">
        <v>16500</v>
      </c>
      <c r="AP21" s="269">
        <v>16500</v>
      </c>
      <c r="AQ21" s="269">
        <v>29000</v>
      </c>
      <c r="AR21" s="260">
        <v>9245</v>
      </c>
      <c r="AS21" s="260">
        <v>6574</v>
      </c>
      <c r="AT21" s="260">
        <v>14883</v>
      </c>
      <c r="AU21" s="260">
        <v>9856</v>
      </c>
      <c r="AV21" s="260"/>
      <c r="AW21" s="260"/>
      <c r="AX21" s="260" t="s">
        <v>191</v>
      </c>
      <c r="AY21" s="260">
        <v>1000</v>
      </c>
      <c r="AZ21" s="260"/>
      <c r="BA21" s="260"/>
      <c r="BB21" s="260" t="s">
        <v>191</v>
      </c>
      <c r="BC21" s="260">
        <v>3000</v>
      </c>
      <c r="BD21" s="233"/>
      <c r="BE21" s="259"/>
      <c r="BF21" s="233" t="s">
        <v>28</v>
      </c>
      <c r="BG21" s="233"/>
      <c r="BH21" s="232" t="s">
        <v>224</v>
      </c>
      <c r="BI21" s="232" t="s">
        <v>243</v>
      </c>
      <c r="BJ21" s="243" t="s">
        <v>194</v>
      </c>
      <c r="BK21" s="297" t="s">
        <v>342</v>
      </c>
      <c r="BL21" s="306" t="s">
        <v>219</v>
      </c>
      <c r="BM21" s="246" t="s">
        <v>195</v>
      </c>
      <c r="BN21" s="316"/>
      <c r="BO21" s="317"/>
    </row>
    <row r="22" spans="1:67" s="226" customFormat="1" ht="30" customHeight="1">
      <c r="A22" s="233" t="s">
        <v>275</v>
      </c>
      <c r="B22" s="239" t="s">
        <v>232</v>
      </c>
      <c r="C22" s="246" t="s">
        <v>259</v>
      </c>
      <c r="D22" s="239" t="s">
        <v>292</v>
      </c>
      <c r="E22" s="246" t="s">
        <v>211</v>
      </c>
      <c r="F22" s="233"/>
      <c r="G22" s="259"/>
      <c r="H22" s="233" t="s">
        <v>172</v>
      </c>
      <c r="I22" s="260">
        <v>11825</v>
      </c>
      <c r="J22" s="233"/>
      <c r="K22" s="260"/>
      <c r="L22" s="233" t="s">
        <v>172</v>
      </c>
      <c r="M22" s="260">
        <v>6226</v>
      </c>
      <c r="N22" s="260">
        <v>5170</v>
      </c>
      <c r="O22" s="260"/>
      <c r="P22" s="260"/>
      <c r="Q22" s="233" t="s">
        <v>172</v>
      </c>
      <c r="R22" s="260">
        <v>10560</v>
      </c>
      <c r="S22" s="260">
        <v>11275</v>
      </c>
      <c r="T22" s="260"/>
      <c r="U22" s="260"/>
      <c r="V22" s="260" t="s">
        <v>189</v>
      </c>
      <c r="W22" s="260">
        <f t="shared" si="0"/>
        <v>11275</v>
      </c>
      <c r="X22" s="260">
        <v>7678</v>
      </c>
      <c r="Y22" s="260"/>
      <c r="Z22" s="260"/>
      <c r="AA22" s="260" t="s">
        <v>189</v>
      </c>
      <c r="AB22" s="260">
        <v>7678</v>
      </c>
      <c r="AC22" s="260">
        <v>7678</v>
      </c>
      <c r="AD22" s="260"/>
      <c r="AE22" s="260"/>
      <c r="AF22" s="260" t="s">
        <v>189</v>
      </c>
      <c r="AG22" s="260">
        <f t="shared" si="1"/>
        <v>7678</v>
      </c>
      <c r="AH22" s="260" t="s">
        <v>215</v>
      </c>
      <c r="AI22" s="260">
        <v>8140</v>
      </c>
      <c r="AJ22" s="233" t="s">
        <v>4</v>
      </c>
      <c r="AK22" s="260">
        <v>7315</v>
      </c>
      <c r="AL22" s="260">
        <v>10065</v>
      </c>
      <c r="AM22" s="260">
        <v>9119</v>
      </c>
      <c r="AN22" s="260">
        <v>12826</v>
      </c>
      <c r="AO22" s="268">
        <v>16940</v>
      </c>
      <c r="AP22" s="269">
        <v>16940</v>
      </c>
      <c r="AQ22" s="269">
        <v>28402</v>
      </c>
      <c r="AR22" s="260">
        <v>9515</v>
      </c>
      <c r="AS22" s="262">
        <v>7271</v>
      </c>
      <c r="AT22" s="260">
        <v>15235</v>
      </c>
      <c r="AU22" s="260">
        <v>10208</v>
      </c>
      <c r="AV22" s="260"/>
      <c r="AW22" s="260"/>
      <c r="AX22" s="260" t="s">
        <v>191</v>
      </c>
      <c r="AY22" s="260">
        <v>2000</v>
      </c>
      <c r="AZ22" s="260"/>
      <c r="BA22" s="260"/>
      <c r="BB22" s="260" t="s">
        <v>191</v>
      </c>
      <c r="BC22" s="260">
        <v>3000</v>
      </c>
      <c r="BD22" s="260"/>
      <c r="BE22" s="259"/>
      <c r="BF22" s="233" t="s">
        <v>28</v>
      </c>
      <c r="BG22" s="260"/>
      <c r="BH22" s="288" t="s">
        <v>42</v>
      </c>
      <c r="BI22" s="232" t="s">
        <v>238</v>
      </c>
      <c r="BJ22" s="243" t="s">
        <v>194</v>
      </c>
      <c r="BK22" s="298" t="s">
        <v>343</v>
      </c>
      <c r="BL22" s="307" t="s">
        <v>46</v>
      </c>
      <c r="BM22" s="246" t="s">
        <v>293</v>
      </c>
    </row>
    <row r="23" spans="1:67" s="226" customFormat="1" ht="24">
      <c r="A23" s="233" t="s">
        <v>156</v>
      </c>
      <c r="B23" s="236" t="s">
        <v>127</v>
      </c>
      <c r="C23" s="246" t="s">
        <v>253</v>
      </c>
      <c r="D23" s="236" t="s">
        <v>294</v>
      </c>
      <c r="E23" s="246" t="s">
        <v>295</v>
      </c>
      <c r="F23" s="233" t="s">
        <v>201</v>
      </c>
      <c r="G23" s="260">
        <v>11143</v>
      </c>
      <c r="H23" s="233" t="s">
        <v>271</v>
      </c>
      <c r="I23" s="260">
        <v>10318</v>
      </c>
      <c r="J23" s="233" t="s">
        <v>201</v>
      </c>
      <c r="K23" s="260">
        <v>4592</v>
      </c>
      <c r="L23" s="233" t="s">
        <v>271</v>
      </c>
      <c r="M23" s="260">
        <v>3800</v>
      </c>
      <c r="N23" s="260">
        <v>5111</v>
      </c>
      <c r="O23" s="233" t="s">
        <v>201</v>
      </c>
      <c r="P23" s="260">
        <v>9988</v>
      </c>
      <c r="Q23" s="233" t="s">
        <v>271</v>
      </c>
      <c r="R23" s="260">
        <v>9163</v>
      </c>
      <c r="S23" s="260">
        <v>10057</v>
      </c>
      <c r="T23" s="260"/>
      <c r="U23" s="260"/>
      <c r="V23" s="260" t="s">
        <v>189</v>
      </c>
      <c r="W23" s="260">
        <f t="shared" si="0"/>
        <v>10057</v>
      </c>
      <c r="X23" s="260">
        <v>6154</v>
      </c>
      <c r="Y23" s="260"/>
      <c r="Z23" s="260"/>
      <c r="AA23" s="260" t="s">
        <v>189</v>
      </c>
      <c r="AB23" s="260">
        <f>X23</f>
        <v>6154</v>
      </c>
      <c r="AC23" s="260">
        <v>6154</v>
      </c>
      <c r="AD23" s="260"/>
      <c r="AE23" s="260"/>
      <c r="AF23" s="260" t="s">
        <v>189</v>
      </c>
      <c r="AG23" s="260">
        <f t="shared" si="1"/>
        <v>6154</v>
      </c>
      <c r="AH23" s="233" t="s">
        <v>201</v>
      </c>
      <c r="AI23" s="260">
        <v>6922</v>
      </c>
      <c r="AJ23" s="233" t="s">
        <v>203</v>
      </c>
      <c r="AK23" s="260">
        <v>6130</v>
      </c>
      <c r="AL23" s="260">
        <v>6226</v>
      </c>
      <c r="AM23" s="260">
        <v>9273</v>
      </c>
      <c r="AN23" s="260">
        <v>11913</v>
      </c>
      <c r="AO23" s="268">
        <v>16698</v>
      </c>
      <c r="AP23" s="269">
        <v>16698</v>
      </c>
      <c r="AQ23" s="269">
        <v>28028</v>
      </c>
      <c r="AR23" s="260">
        <v>8943</v>
      </c>
      <c r="AS23" s="260">
        <v>6494</v>
      </c>
      <c r="AT23" s="260">
        <v>15191</v>
      </c>
      <c r="AU23" s="260">
        <v>10461</v>
      </c>
      <c r="AV23" s="260" t="s">
        <v>106</v>
      </c>
      <c r="AW23" s="260"/>
      <c r="AX23" s="260" t="s">
        <v>247</v>
      </c>
      <c r="AY23" s="260"/>
      <c r="AZ23" s="260" t="s">
        <v>106</v>
      </c>
      <c r="BA23" s="260"/>
      <c r="BB23" s="260" t="s">
        <v>247</v>
      </c>
      <c r="BC23" s="260"/>
      <c r="BD23" s="233" t="s">
        <v>201</v>
      </c>
      <c r="BE23" s="260">
        <v>2733</v>
      </c>
      <c r="BF23" s="233" t="s">
        <v>271</v>
      </c>
      <c r="BG23" s="260">
        <v>1941</v>
      </c>
      <c r="BH23" s="232" t="s">
        <v>42</v>
      </c>
      <c r="BI23" s="232" t="s">
        <v>296</v>
      </c>
      <c r="BJ23" s="243" t="s">
        <v>194</v>
      </c>
      <c r="BK23" s="248" t="s">
        <v>344</v>
      </c>
      <c r="BL23" s="302" t="s">
        <v>251</v>
      </c>
      <c r="BM23" s="248" t="s">
        <v>345</v>
      </c>
    </row>
    <row r="24" spans="1:67" s="226" customFormat="1" ht="30" customHeight="1">
      <c r="A24" s="233" t="s">
        <v>119</v>
      </c>
      <c r="B24" s="236" t="s">
        <v>272</v>
      </c>
      <c r="C24" s="246" t="s">
        <v>298</v>
      </c>
      <c r="D24" s="236" t="s">
        <v>22</v>
      </c>
      <c r="E24" s="246" t="s">
        <v>41</v>
      </c>
      <c r="F24" s="233"/>
      <c r="G24" s="259"/>
      <c r="H24" s="233" t="s">
        <v>172</v>
      </c>
      <c r="I24" s="260">
        <v>11280</v>
      </c>
      <c r="J24" s="233"/>
      <c r="K24" s="260"/>
      <c r="L24" s="233" t="s">
        <v>172</v>
      </c>
      <c r="M24" s="260"/>
      <c r="N24" s="260">
        <v>4810</v>
      </c>
      <c r="O24" s="260"/>
      <c r="P24" s="260"/>
      <c r="Q24" s="233" t="s">
        <v>172</v>
      </c>
      <c r="R24" s="260">
        <v>10125</v>
      </c>
      <c r="S24" s="260">
        <v>10840</v>
      </c>
      <c r="T24" s="260"/>
      <c r="U24" s="260"/>
      <c r="V24" s="260" t="s">
        <v>189</v>
      </c>
      <c r="W24" s="260">
        <f t="shared" si="0"/>
        <v>10840</v>
      </c>
      <c r="X24" s="260">
        <v>7243</v>
      </c>
      <c r="Y24" s="260"/>
      <c r="Z24" s="260"/>
      <c r="AA24" s="260" t="s">
        <v>189</v>
      </c>
      <c r="AB24" s="260">
        <f>X24</f>
        <v>7243</v>
      </c>
      <c r="AC24" s="260">
        <v>7243</v>
      </c>
      <c r="AD24" s="260"/>
      <c r="AE24" s="260"/>
      <c r="AF24" s="260" t="s">
        <v>189</v>
      </c>
      <c r="AG24" s="260">
        <f t="shared" si="1"/>
        <v>7243</v>
      </c>
      <c r="AH24" s="260"/>
      <c r="AI24" s="260"/>
      <c r="AJ24" s="260" t="s">
        <v>172</v>
      </c>
      <c r="AK24" s="260">
        <v>7705</v>
      </c>
      <c r="AL24" s="260">
        <v>9630</v>
      </c>
      <c r="AM24" s="260">
        <v>8684</v>
      </c>
      <c r="AN24" s="260">
        <v>12391</v>
      </c>
      <c r="AO24" s="269">
        <v>16580</v>
      </c>
      <c r="AP24" s="269">
        <v>16580</v>
      </c>
      <c r="AQ24" s="269">
        <v>28042</v>
      </c>
      <c r="AR24" s="260">
        <v>9080</v>
      </c>
      <c r="AS24" s="260">
        <v>6796</v>
      </c>
      <c r="AT24" s="260">
        <v>14800</v>
      </c>
      <c r="AU24" s="260">
        <v>9773</v>
      </c>
      <c r="AV24" s="260"/>
      <c r="AW24" s="260"/>
      <c r="AX24" s="260" t="s">
        <v>191</v>
      </c>
      <c r="AY24" s="260">
        <v>1400</v>
      </c>
      <c r="AZ24" s="260"/>
      <c r="BA24" s="260"/>
      <c r="BB24" s="260" t="s">
        <v>191</v>
      </c>
      <c r="BC24" s="260">
        <v>4000</v>
      </c>
      <c r="BD24" s="233"/>
      <c r="BE24" s="259"/>
      <c r="BF24" s="233" t="s">
        <v>28</v>
      </c>
      <c r="BG24" s="233"/>
      <c r="BH24" s="232" t="s">
        <v>42</v>
      </c>
      <c r="BI24" s="232" t="s">
        <v>25</v>
      </c>
      <c r="BJ24" s="243" t="s">
        <v>194</v>
      </c>
      <c r="BK24" s="240" t="s">
        <v>49</v>
      </c>
      <c r="BL24" s="308" t="s">
        <v>331</v>
      </c>
      <c r="BM24" s="246" t="s">
        <v>256</v>
      </c>
    </row>
    <row r="25" spans="1:67" s="226" customFormat="1" ht="30" customHeight="1">
      <c r="A25" s="233" t="s">
        <v>299</v>
      </c>
      <c r="B25" s="236" t="s">
        <v>300</v>
      </c>
      <c r="C25" s="246" t="s">
        <v>124</v>
      </c>
      <c r="D25" s="236" t="s">
        <v>91</v>
      </c>
      <c r="E25" s="246" t="s">
        <v>301</v>
      </c>
      <c r="F25" s="233"/>
      <c r="G25" s="259"/>
      <c r="H25" s="233" t="s">
        <v>172</v>
      </c>
      <c r="I25" s="260">
        <v>11280</v>
      </c>
      <c r="J25" s="233"/>
      <c r="K25" s="260"/>
      <c r="L25" s="233" t="s">
        <v>172</v>
      </c>
      <c r="M25" s="260">
        <v>5791</v>
      </c>
      <c r="N25" s="260">
        <v>4810</v>
      </c>
      <c r="O25" s="260"/>
      <c r="P25" s="260"/>
      <c r="Q25" s="233" t="s">
        <v>172</v>
      </c>
      <c r="R25" s="260">
        <v>10125</v>
      </c>
      <c r="S25" s="260">
        <v>10840</v>
      </c>
      <c r="T25" s="260"/>
      <c r="U25" s="260"/>
      <c r="V25" s="260" t="s">
        <v>189</v>
      </c>
      <c r="W25" s="260">
        <f t="shared" si="0"/>
        <v>10840</v>
      </c>
      <c r="X25" s="260">
        <v>7243</v>
      </c>
      <c r="Y25" s="260"/>
      <c r="Z25" s="260"/>
      <c r="AA25" s="260" t="s">
        <v>189</v>
      </c>
      <c r="AB25" s="260">
        <f>X25</f>
        <v>7243</v>
      </c>
      <c r="AC25" s="260">
        <v>7243</v>
      </c>
      <c r="AD25" s="260"/>
      <c r="AE25" s="260"/>
      <c r="AF25" s="260" t="s">
        <v>189</v>
      </c>
      <c r="AG25" s="260">
        <f t="shared" si="1"/>
        <v>7243</v>
      </c>
      <c r="AH25" s="260"/>
      <c r="AI25" s="260"/>
      <c r="AJ25" s="260" t="s">
        <v>172</v>
      </c>
      <c r="AK25" s="260">
        <v>7705</v>
      </c>
      <c r="AL25" s="260">
        <v>9630</v>
      </c>
      <c r="AM25" s="260">
        <v>8684</v>
      </c>
      <c r="AN25" s="260">
        <v>12391</v>
      </c>
      <c r="AO25" s="268">
        <v>16580</v>
      </c>
      <c r="AP25" s="269">
        <v>16580</v>
      </c>
      <c r="AQ25" s="269">
        <v>28042</v>
      </c>
      <c r="AR25" s="260">
        <v>9080</v>
      </c>
      <c r="AS25" s="260">
        <v>6796</v>
      </c>
      <c r="AT25" s="260">
        <v>14800</v>
      </c>
      <c r="AU25" s="260">
        <v>9773</v>
      </c>
      <c r="AV25" s="260"/>
      <c r="AW25" s="260"/>
      <c r="AX25" s="260" t="s">
        <v>191</v>
      </c>
      <c r="AY25" s="260">
        <v>1400</v>
      </c>
      <c r="AZ25" s="260"/>
      <c r="BA25" s="260"/>
      <c r="BB25" s="260" t="s">
        <v>191</v>
      </c>
      <c r="BC25" s="260">
        <v>4000</v>
      </c>
      <c r="BD25" s="233"/>
      <c r="BE25" s="259"/>
      <c r="BF25" s="233" t="s">
        <v>28</v>
      </c>
      <c r="BG25" s="233"/>
      <c r="BH25" s="232" t="s">
        <v>42</v>
      </c>
      <c r="BI25" s="232" t="s">
        <v>346</v>
      </c>
      <c r="BJ25" s="243"/>
      <c r="BK25" s="236" t="s">
        <v>230</v>
      </c>
      <c r="BL25" s="309" t="s">
        <v>347</v>
      </c>
      <c r="BM25" s="246" t="s">
        <v>281</v>
      </c>
    </row>
    <row r="26" spans="1:67" s="226" customFormat="1" ht="30" customHeight="1">
      <c r="A26" s="233" t="s">
        <v>165</v>
      </c>
      <c r="B26" s="236" t="s">
        <v>303</v>
      </c>
      <c r="C26" s="246" t="s">
        <v>121</v>
      </c>
      <c r="D26" s="236" t="s">
        <v>84</v>
      </c>
      <c r="E26" s="246" t="s">
        <v>59</v>
      </c>
      <c r="F26" s="233"/>
      <c r="G26" s="259"/>
      <c r="H26" s="233" t="s">
        <v>172</v>
      </c>
      <c r="I26" s="260">
        <v>11280</v>
      </c>
      <c r="J26" s="233"/>
      <c r="K26" s="260"/>
      <c r="L26" s="233" t="s">
        <v>172</v>
      </c>
      <c r="M26" s="260"/>
      <c r="N26" s="260">
        <v>4810</v>
      </c>
      <c r="O26" s="260"/>
      <c r="P26" s="260"/>
      <c r="Q26" s="233" t="s">
        <v>172</v>
      </c>
      <c r="R26" s="260">
        <v>10125</v>
      </c>
      <c r="S26" s="260">
        <v>10840</v>
      </c>
      <c r="T26" s="260"/>
      <c r="U26" s="260"/>
      <c r="V26" s="260" t="s">
        <v>189</v>
      </c>
      <c r="W26" s="260">
        <f t="shared" si="0"/>
        <v>10840</v>
      </c>
      <c r="X26" s="260">
        <v>7243</v>
      </c>
      <c r="Y26" s="260"/>
      <c r="Z26" s="260"/>
      <c r="AA26" s="260" t="s">
        <v>189</v>
      </c>
      <c r="AB26" s="260">
        <f>X26</f>
        <v>7243</v>
      </c>
      <c r="AC26" s="260">
        <v>7243</v>
      </c>
      <c r="AD26" s="260"/>
      <c r="AE26" s="260"/>
      <c r="AF26" s="260" t="s">
        <v>189</v>
      </c>
      <c r="AG26" s="260">
        <f t="shared" si="1"/>
        <v>7243</v>
      </c>
      <c r="AH26" s="260"/>
      <c r="AI26" s="260"/>
      <c r="AJ26" s="260" t="s">
        <v>172</v>
      </c>
      <c r="AK26" s="260">
        <v>7705</v>
      </c>
      <c r="AL26" s="260">
        <v>9630</v>
      </c>
      <c r="AM26" s="260">
        <v>8684</v>
      </c>
      <c r="AN26" s="260">
        <v>12391</v>
      </c>
      <c r="AO26" s="268">
        <v>16580</v>
      </c>
      <c r="AP26" s="269">
        <v>16580</v>
      </c>
      <c r="AQ26" s="269">
        <v>28042</v>
      </c>
      <c r="AR26" s="260">
        <v>9080</v>
      </c>
      <c r="AS26" s="260">
        <v>6796</v>
      </c>
      <c r="AT26" s="260">
        <v>14800</v>
      </c>
      <c r="AU26" s="260">
        <v>9773</v>
      </c>
      <c r="AV26" s="260"/>
      <c r="AW26" s="260"/>
      <c r="AX26" s="260" t="s">
        <v>191</v>
      </c>
      <c r="AY26" s="260">
        <v>1400</v>
      </c>
      <c r="AZ26" s="260"/>
      <c r="BA26" s="260"/>
      <c r="BB26" s="260" t="s">
        <v>191</v>
      </c>
      <c r="BC26" s="260">
        <v>4000</v>
      </c>
      <c r="BD26" s="233"/>
      <c r="BE26" s="259"/>
      <c r="BF26" s="233" t="s">
        <v>28</v>
      </c>
      <c r="BG26" s="233"/>
      <c r="BH26" s="232" t="s">
        <v>42</v>
      </c>
      <c r="BI26" s="232" t="s">
        <v>304</v>
      </c>
      <c r="BJ26" s="243" t="s">
        <v>194</v>
      </c>
      <c r="BK26" s="236" t="s">
        <v>303</v>
      </c>
      <c r="BL26" s="308" t="s">
        <v>135</v>
      </c>
      <c r="BM26" s="246" t="s">
        <v>204</v>
      </c>
    </row>
    <row r="27" spans="1:67" s="226" customFormat="1" ht="30" customHeight="1">
      <c r="A27" s="233" t="s">
        <v>14</v>
      </c>
      <c r="B27" s="236" t="s">
        <v>306</v>
      </c>
      <c r="C27" s="246" t="s">
        <v>235</v>
      </c>
      <c r="D27" s="236" t="s">
        <v>212</v>
      </c>
      <c r="E27" s="246" t="s">
        <v>307</v>
      </c>
      <c r="F27" s="233"/>
      <c r="G27" s="259"/>
      <c r="H27" s="233" t="s">
        <v>172</v>
      </c>
      <c r="I27" s="260">
        <v>10901</v>
      </c>
      <c r="J27" s="233"/>
      <c r="K27" s="260"/>
      <c r="L27" s="233" t="s">
        <v>172</v>
      </c>
      <c r="M27" s="260"/>
      <c r="N27" s="260">
        <v>4944</v>
      </c>
      <c r="O27" s="260"/>
      <c r="P27" s="260"/>
      <c r="Q27" s="233" t="s">
        <v>172</v>
      </c>
      <c r="R27" s="260">
        <v>9999</v>
      </c>
      <c r="S27" s="262">
        <v>12177</v>
      </c>
      <c r="T27" s="233" t="s">
        <v>174</v>
      </c>
      <c r="U27" s="260">
        <v>10747</v>
      </c>
      <c r="V27" s="233" t="s">
        <v>11</v>
      </c>
      <c r="W27" s="260">
        <v>9922</v>
      </c>
      <c r="X27" s="260">
        <v>8767</v>
      </c>
      <c r="Y27" s="233" t="s">
        <v>174</v>
      </c>
      <c r="Z27" s="260">
        <v>7337</v>
      </c>
      <c r="AA27" s="233" t="s">
        <v>11</v>
      </c>
      <c r="AB27" s="260">
        <v>6512</v>
      </c>
      <c r="AC27" s="260">
        <v>8756</v>
      </c>
      <c r="AD27" s="233" t="s">
        <v>174</v>
      </c>
      <c r="AE27" s="260">
        <v>7326</v>
      </c>
      <c r="AF27" s="233" t="s">
        <v>11</v>
      </c>
      <c r="AG27" s="260">
        <v>6501</v>
      </c>
      <c r="AH27" s="260"/>
      <c r="AI27" s="260"/>
      <c r="AJ27" s="260" t="s">
        <v>172</v>
      </c>
      <c r="AK27" s="260">
        <v>6933</v>
      </c>
      <c r="AL27" s="260">
        <v>11110</v>
      </c>
      <c r="AM27" s="262">
        <v>8319</v>
      </c>
      <c r="AN27" s="262">
        <v>11288</v>
      </c>
      <c r="AO27" s="269">
        <v>16764</v>
      </c>
      <c r="AP27" s="269">
        <v>15950</v>
      </c>
      <c r="AQ27" s="269">
        <v>25012</v>
      </c>
      <c r="AR27" s="262">
        <v>10450</v>
      </c>
      <c r="AS27" s="262">
        <v>7018</v>
      </c>
      <c r="AT27" s="262">
        <v>16445</v>
      </c>
      <c r="AU27" s="262">
        <v>11036</v>
      </c>
      <c r="AV27" s="260"/>
      <c r="AW27" s="260"/>
      <c r="AX27" s="260" t="s">
        <v>191</v>
      </c>
      <c r="AY27" s="260">
        <v>1500</v>
      </c>
      <c r="AZ27" s="260"/>
      <c r="BA27" s="260"/>
      <c r="BB27" s="260" t="s">
        <v>191</v>
      </c>
      <c r="BC27" s="260">
        <v>3000</v>
      </c>
      <c r="BD27" s="233"/>
      <c r="BE27" s="259"/>
      <c r="BF27" s="233" t="s">
        <v>28</v>
      </c>
      <c r="BG27" s="233"/>
      <c r="BH27" s="232" t="s">
        <v>42</v>
      </c>
      <c r="BI27" s="232" t="s">
        <v>308</v>
      </c>
      <c r="BJ27" s="243" t="s">
        <v>194</v>
      </c>
      <c r="BK27" s="246" t="s">
        <v>180</v>
      </c>
      <c r="BL27" s="302" t="s">
        <v>65</v>
      </c>
      <c r="BM27" s="246" t="s">
        <v>309</v>
      </c>
    </row>
    <row r="28" spans="1:67" ht="30" customHeight="1">
      <c r="A28" s="233" t="s">
        <v>120</v>
      </c>
      <c r="B28" s="240" t="s">
        <v>306</v>
      </c>
      <c r="C28" s="248" t="s">
        <v>252</v>
      </c>
      <c r="D28" s="240" t="s">
        <v>175</v>
      </c>
      <c r="E28" s="246" t="s">
        <v>312</v>
      </c>
      <c r="F28" s="233"/>
      <c r="G28" s="259"/>
      <c r="H28" s="233" t="s">
        <v>172</v>
      </c>
      <c r="I28" s="260">
        <v>10901</v>
      </c>
      <c r="J28" s="233"/>
      <c r="K28" s="260"/>
      <c r="L28" s="233" t="s">
        <v>172</v>
      </c>
      <c r="M28" s="260">
        <v>5665</v>
      </c>
      <c r="N28" s="260">
        <v>4944</v>
      </c>
      <c r="O28" s="260"/>
      <c r="P28" s="260"/>
      <c r="Q28" s="233" t="s">
        <v>172</v>
      </c>
      <c r="R28" s="260">
        <v>9999</v>
      </c>
      <c r="S28" s="262">
        <v>12177</v>
      </c>
      <c r="T28" s="233" t="s">
        <v>174</v>
      </c>
      <c r="U28" s="260">
        <v>10747</v>
      </c>
      <c r="V28" s="233" t="s">
        <v>11</v>
      </c>
      <c r="W28" s="260">
        <v>9922</v>
      </c>
      <c r="X28" s="260">
        <v>8767</v>
      </c>
      <c r="Y28" s="233" t="s">
        <v>174</v>
      </c>
      <c r="Z28" s="260">
        <v>7337</v>
      </c>
      <c r="AA28" s="233" t="s">
        <v>11</v>
      </c>
      <c r="AB28" s="260">
        <v>6512</v>
      </c>
      <c r="AC28" s="260">
        <v>8756</v>
      </c>
      <c r="AD28" s="233" t="s">
        <v>174</v>
      </c>
      <c r="AE28" s="260">
        <v>7326</v>
      </c>
      <c r="AF28" s="233" t="s">
        <v>11</v>
      </c>
      <c r="AG28" s="260">
        <v>6501</v>
      </c>
      <c r="AH28" s="260"/>
      <c r="AI28" s="260"/>
      <c r="AJ28" s="260" t="s">
        <v>172</v>
      </c>
      <c r="AK28" s="260">
        <v>6933</v>
      </c>
      <c r="AL28" s="260">
        <v>11110</v>
      </c>
      <c r="AM28" s="262">
        <v>8319</v>
      </c>
      <c r="AN28" s="262">
        <v>11288</v>
      </c>
      <c r="AO28" s="269">
        <v>16764</v>
      </c>
      <c r="AP28" s="269">
        <v>15950</v>
      </c>
      <c r="AQ28" s="269">
        <v>25012</v>
      </c>
      <c r="AR28" s="262">
        <v>10450</v>
      </c>
      <c r="AS28" s="262">
        <v>7018</v>
      </c>
      <c r="AT28" s="262">
        <v>16445</v>
      </c>
      <c r="AU28" s="262">
        <v>11036</v>
      </c>
      <c r="AV28" s="243"/>
      <c r="AW28" s="260"/>
      <c r="AX28" s="260" t="s">
        <v>191</v>
      </c>
      <c r="AY28" s="260">
        <v>1500</v>
      </c>
      <c r="AZ28" s="243"/>
      <c r="BA28" s="260"/>
      <c r="BB28" s="260" t="s">
        <v>191</v>
      </c>
      <c r="BC28" s="260">
        <v>3000</v>
      </c>
      <c r="BD28" s="233"/>
      <c r="BE28" s="259"/>
      <c r="BF28" s="233" t="s">
        <v>28</v>
      </c>
      <c r="BG28" s="233"/>
      <c r="BH28" s="232" t="s">
        <v>42</v>
      </c>
      <c r="BI28" s="232" t="s">
        <v>313</v>
      </c>
      <c r="BJ28" s="243" t="s">
        <v>194</v>
      </c>
      <c r="BK28" s="246" t="s">
        <v>314</v>
      </c>
      <c r="BL28" s="302" t="s">
        <v>315</v>
      </c>
      <c r="BM28" s="248" t="s">
        <v>332</v>
      </c>
    </row>
    <row r="29" spans="1:67" s="226" customFormat="1" ht="30" customHeight="1">
      <c r="A29" s="233" t="s">
        <v>188</v>
      </c>
      <c r="B29" s="241" t="s">
        <v>316</v>
      </c>
      <c r="C29" s="243" t="s">
        <v>290</v>
      </c>
      <c r="D29" s="251" t="s">
        <v>220</v>
      </c>
      <c r="E29" s="243" t="s">
        <v>310</v>
      </c>
      <c r="F29" s="233"/>
      <c r="G29" s="259"/>
      <c r="H29" s="233" t="s">
        <v>172</v>
      </c>
      <c r="I29" s="260">
        <v>10901</v>
      </c>
      <c r="J29" s="233"/>
      <c r="K29" s="260"/>
      <c r="L29" s="233" t="s">
        <v>172</v>
      </c>
      <c r="M29" s="260">
        <v>5665</v>
      </c>
      <c r="N29" s="260">
        <v>4944</v>
      </c>
      <c r="O29" s="260"/>
      <c r="P29" s="260"/>
      <c r="Q29" s="233" t="s">
        <v>172</v>
      </c>
      <c r="R29" s="260">
        <v>9999</v>
      </c>
      <c r="S29" s="262">
        <v>12177</v>
      </c>
      <c r="T29" s="233" t="s">
        <v>174</v>
      </c>
      <c r="U29" s="260">
        <v>10747</v>
      </c>
      <c r="V29" s="233" t="s">
        <v>11</v>
      </c>
      <c r="W29" s="260">
        <v>9922</v>
      </c>
      <c r="X29" s="260">
        <v>8767</v>
      </c>
      <c r="Y29" s="233" t="s">
        <v>174</v>
      </c>
      <c r="Z29" s="260">
        <v>7337</v>
      </c>
      <c r="AA29" s="233" t="s">
        <v>11</v>
      </c>
      <c r="AB29" s="260">
        <v>6512</v>
      </c>
      <c r="AC29" s="260">
        <v>8756</v>
      </c>
      <c r="AD29" s="233" t="s">
        <v>174</v>
      </c>
      <c r="AE29" s="260">
        <v>7326</v>
      </c>
      <c r="AF29" s="233" t="s">
        <v>11</v>
      </c>
      <c r="AG29" s="260">
        <v>6501</v>
      </c>
      <c r="AH29" s="260"/>
      <c r="AI29" s="260"/>
      <c r="AJ29" s="260" t="s">
        <v>172</v>
      </c>
      <c r="AK29" s="260">
        <v>6933</v>
      </c>
      <c r="AL29" s="260">
        <v>11110</v>
      </c>
      <c r="AM29" s="262">
        <v>8319</v>
      </c>
      <c r="AN29" s="262">
        <v>11288</v>
      </c>
      <c r="AO29" s="269">
        <v>16764</v>
      </c>
      <c r="AP29" s="269">
        <v>15950</v>
      </c>
      <c r="AQ29" s="269">
        <v>25012</v>
      </c>
      <c r="AR29" s="262">
        <v>10450</v>
      </c>
      <c r="AS29" s="262">
        <v>7018</v>
      </c>
      <c r="AT29" s="262">
        <v>16445</v>
      </c>
      <c r="AU29" s="262">
        <v>11036</v>
      </c>
      <c r="AV29" s="260"/>
      <c r="AW29" s="260"/>
      <c r="AX29" s="260" t="s">
        <v>191</v>
      </c>
      <c r="AY29" s="260">
        <v>1500</v>
      </c>
      <c r="AZ29" s="260"/>
      <c r="BA29" s="260"/>
      <c r="BB29" s="260" t="s">
        <v>191</v>
      </c>
      <c r="BC29" s="260">
        <v>3000</v>
      </c>
      <c r="BD29" s="233"/>
      <c r="BE29" s="259"/>
      <c r="BF29" s="233" t="s">
        <v>28</v>
      </c>
      <c r="BG29" s="233"/>
      <c r="BH29" s="232" t="s">
        <v>60</v>
      </c>
      <c r="BI29" s="232" t="s">
        <v>152</v>
      </c>
      <c r="BJ29" s="243" t="s">
        <v>194</v>
      </c>
      <c r="BK29" s="299" t="s">
        <v>340</v>
      </c>
      <c r="BL29" s="241" t="s">
        <v>182</v>
      </c>
      <c r="BM29" s="314" t="s">
        <v>341</v>
      </c>
    </row>
    <row r="30" spans="1:67" s="226" customFormat="1" ht="30" customHeight="1">
      <c r="A30" s="233" t="s">
        <v>319</v>
      </c>
      <c r="B30" s="236" t="s">
        <v>311</v>
      </c>
      <c r="C30" s="246" t="s">
        <v>92</v>
      </c>
      <c r="D30" s="236" t="s">
        <v>70</v>
      </c>
      <c r="E30" s="246" t="s">
        <v>320</v>
      </c>
      <c r="F30" s="233"/>
      <c r="G30" s="259"/>
      <c r="H30" s="233" t="s">
        <v>172</v>
      </c>
      <c r="I30" s="260">
        <v>10901</v>
      </c>
      <c r="J30" s="233"/>
      <c r="K30" s="260"/>
      <c r="L30" s="233" t="s">
        <v>172</v>
      </c>
      <c r="M30" s="260">
        <v>5665</v>
      </c>
      <c r="N30" s="260">
        <v>4944</v>
      </c>
      <c r="O30" s="260"/>
      <c r="P30" s="260"/>
      <c r="Q30" s="233" t="s">
        <v>172</v>
      </c>
      <c r="R30" s="260">
        <v>9999</v>
      </c>
      <c r="S30" s="262">
        <v>12177</v>
      </c>
      <c r="T30" s="233" t="s">
        <v>174</v>
      </c>
      <c r="U30" s="260">
        <v>10747</v>
      </c>
      <c r="V30" s="233" t="s">
        <v>11</v>
      </c>
      <c r="W30" s="260">
        <v>9922</v>
      </c>
      <c r="X30" s="260">
        <v>8767</v>
      </c>
      <c r="Y30" s="233" t="s">
        <v>174</v>
      </c>
      <c r="Z30" s="260">
        <v>7337</v>
      </c>
      <c r="AA30" s="233" t="s">
        <v>11</v>
      </c>
      <c r="AB30" s="260">
        <v>6512</v>
      </c>
      <c r="AC30" s="260">
        <v>8756</v>
      </c>
      <c r="AD30" s="233" t="s">
        <v>174</v>
      </c>
      <c r="AE30" s="260">
        <v>7326</v>
      </c>
      <c r="AF30" s="233" t="s">
        <v>11</v>
      </c>
      <c r="AG30" s="260">
        <v>6501</v>
      </c>
      <c r="AH30" s="260"/>
      <c r="AI30" s="260"/>
      <c r="AJ30" s="260" t="s">
        <v>172</v>
      </c>
      <c r="AK30" s="260">
        <v>6933</v>
      </c>
      <c r="AL30" s="260">
        <v>11110</v>
      </c>
      <c r="AM30" s="262">
        <v>8319</v>
      </c>
      <c r="AN30" s="262">
        <v>11288</v>
      </c>
      <c r="AO30" s="269">
        <v>16764</v>
      </c>
      <c r="AP30" s="269">
        <v>15950</v>
      </c>
      <c r="AQ30" s="269">
        <v>25012</v>
      </c>
      <c r="AR30" s="262">
        <v>10450</v>
      </c>
      <c r="AS30" s="262">
        <v>7018</v>
      </c>
      <c r="AT30" s="262">
        <v>16445</v>
      </c>
      <c r="AU30" s="262">
        <v>11036</v>
      </c>
      <c r="AV30" s="260"/>
      <c r="AW30" s="260"/>
      <c r="AX30" s="260" t="s">
        <v>191</v>
      </c>
      <c r="AY30" s="260">
        <v>1500</v>
      </c>
      <c r="AZ30" s="260"/>
      <c r="BA30" s="260"/>
      <c r="BB30" s="260" t="s">
        <v>191</v>
      </c>
      <c r="BC30" s="260">
        <v>3000</v>
      </c>
      <c r="BD30" s="233"/>
      <c r="BE30" s="259"/>
      <c r="BF30" s="233" t="s">
        <v>28</v>
      </c>
      <c r="BG30" s="233"/>
      <c r="BH30" s="232" t="s">
        <v>42</v>
      </c>
      <c r="BI30" s="232" t="s">
        <v>321</v>
      </c>
      <c r="BJ30" s="243" t="s">
        <v>194</v>
      </c>
      <c r="BK30" s="236" t="s">
        <v>34</v>
      </c>
      <c r="BL30" s="302" t="s">
        <v>280</v>
      </c>
      <c r="BM30" s="246" t="s">
        <v>21</v>
      </c>
    </row>
    <row r="31" spans="1:67" s="226" customFormat="1" ht="30" customHeight="1">
      <c r="A31" s="233" t="s">
        <v>297</v>
      </c>
      <c r="B31" s="236" t="s">
        <v>303</v>
      </c>
      <c r="C31" s="245" t="s">
        <v>13</v>
      </c>
      <c r="D31" s="235" t="s">
        <v>162</v>
      </c>
      <c r="E31" s="246" t="s">
        <v>318</v>
      </c>
      <c r="F31" s="233"/>
      <c r="G31" s="260"/>
      <c r="H31" s="233" t="s">
        <v>172</v>
      </c>
      <c r="I31" s="260">
        <v>11445</v>
      </c>
      <c r="J31" s="233"/>
      <c r="K31" s="260"/>
      <c r="L31" s="233" t="s">
        <v>172</v>
      </c>
      <c r="M31" s="260">
        <v>5879</v>
      </c>
      <c r="N31" s="260">
        <v>5725</v>
      </c>
      <c r="O31" s="260"/>
      <c r="P31" s="260"/>
      <c r="Q31" s="233" t="s">
        <v>172</v>
      </c>
      <c r="R31" s="260">
        <v>10290</v>
      </c>
      <c r="S31" s="260">
        <v>10868</v>
      </c>
      <c r="T31" s="260"/>
      <c r="U31" s="260"/>
      <c r="V31" s="260" t="s">
        <v>189</v>
      </c>
      <c r="W31" s="260">
        <v>10868</v>
      </c>
      <c r="X31" s="260">
        <v>6848</v>
      </c>
      <c r="Y31" s="260"/>
      <c r="Z31" s="260"/>
      <c r="AA31" s="260" t="s">
        <v>189</v>
      </c>
      <c r="AB31" s="260">
        <f>X31</f>
        <v>6848</v>
      </c>
      <c r="AC31" s="260">
        <v>6848</v>
      </c>
      <c r="AD31" s="260"/>
      <c r="AE31" s="260"/>
      <c r="AF31" s="260" t="s">
        <v>189</v>
      </c>
      <c r="AG31" s="260">
        <f>AC31</f>
        <v>6848</v>
      </c>
      <c r="AH31" s="260"/>
      <c r="AI31" s="260"/>
      <c r="AJ31" s="260" t="s">
        <v>172</v>
      </c>
      <c r="AK31" s="260">
        <v>7859</v>
      </c>
      <c r="AL31" s="260">
        <v>9795</v>
      </c>
      <c r="AM31" s="260">
        <v>8382</v>
      </c>
      <c r="AN31" s="260">
        <v>10916</v>
      </c>
      <c r="AO31" s="268">
        <v>16500</v>
      </c>
      <c r="AP31" s="269">
        <v>16500</v>
      </c>
      <c r="AQ31" s="269">
        <v>29000</v>
      </c>
      <c r="AR31" s="260">
        <v>9245</v>
      </c>
      <c r="AS31" s="260">
        <v>6574</v>
      </c>
      <c r="AT31" s="260">
        <v>14883</v>
      </c>
      <c r="AU31" s="260">
        <v>9856</v>
      </c>
      <c r="AV31" s="260"/>
      <c r="AW31" s="260"/>
      <c r="AX31" s="260" t="s">
        <v>191</v>
      </c>
      <c r="AY31" s="260">
        <v>2000</v>
      </c>
      <c r="AZ31" s="260"/>
      <c r="BA31" s="260"/>
      <c r="BB31" s="260" t="s">
        <v>191</v>
      </c>
      <c r="BC31" s="260">
        <v>3000</v>
      </c>
      <c r="BD31" s="233"/>
      <c r="BE31" s="259"/>
      <c r="BF31" s="233" t="s">
        <v>28</v>
      </c>
      <c r="BG31" s="233"/>
      <c r="BH31" s="232" t="s">
        <v>42</v>
      </c>
      <c r="BI31" s="232" t="s">
        <v>12</v>
      </c>
      <c r="BJ31" s="243"/>
      <c r="BK31" s="236" t="s">
        <v>322</v>
      </c>
      <c r="BL31" s="302" t="s">
        <v>3</v>
      </c>
      <c r="BM31" s="246" t="s">
        <v>226</v>
      </c>
      <c r="BN31" s="315"/>
    </row>
    <row r="32" spans="1:67" s="226" customFormat="1" ht="30" customHeight="1">
      <c r="A32" s="233" t="s">
        <v>268</v>
      </c>
      <c r="B32" s="236" t="s">
        <v>316</v>
      </c>
      <c r="C32" s="246" t="s">
        <v>227</v>
      </c>
      <c r="D32" s="236" t="s">
        <v>302</v>
      </c>
      <c r="E32" s="246" t="s">
        <v>245</v>
      </c>
      <c r="F32" s="233"/>
      <c r="G32" s="260"/>
      <c r="H32" s="233" t="s">
        <v>172</v>
      </c>
      <c r="I32" s="260">
        <v>11957</v>
      </c>
      <c r="J32" s="233"/>
      <c r="K32" s="260"/>
      <c r="L32" s="233" t="s">
        <v>172</v>
      </c>
      <c r="M32" s="260">
        <v>6468</v>
      </c>
      <c r="N32" s="260">
        <v>5412</v>
      </c>
      <c r="O32" s="260"/>
      <c r="P32" s="260"/>
      <c r="Q32" s="233" t="s">
        <v>172</v>
      </c>
      <c r="R32" s="260">
        <v>10802</v>
      </c>
      <c r="S32" s="260">
        <v>11462</v>
      </c>
      <c r="T32" s="260"/>
      <c r="U32" s="260"/>
      <c r="V32" s="260" t="s">
        <v>189</v>
      </c>
      <c r="W32" s="260">
        <f>S32</f>
        <v>11462</v>
      </c>
      <c r="X32" s="260">
        <v>7920</v>
      </c>
      <c r="Y32" s="260"/>
      <c r="Z32" s="260"/>
      <c r="AA32" s="260" t="s">
        <v>189</v>
      </c>
      <c r="AB32" s="260">
        <f>X32</f>
        <v>7920</v>
      </c>
      <c r="AC32" s="260">
        <v>7920</v>
      </c>
      <c r="AD32" s="260"/>
      <c r="AE32" s="260"/>
      <c r="AF32" s="260" t="s">
        <v>189</v>
      </c>
      <c r="AG32" s="260">
        <f>AC32</f>
        <v>7920</v>
      </c>
      <c r="AH32" s="233" t="s">
        <v>201</v>
      </c>
      <c r="AI32" s="260">
        <v>8382</v>
      </c>
      <c r="AJ32" s="233" t="s">
        <v>203</v>
      </c>
      <c r="AK32" s="260">
        <v>7557</v>
      </c>
      <c r="AL32" s="260">
        <v>10307</v>
      </c>
      <c r="AM32" s="260">
        <v>9361</v>
      </c>
      <c r="AN32" s="260">
        <v>12727</v>
      </c>
      <c r="AO32" s="268">
        <v>17182</v>
      </c>
      <c r="AP32" s="268">
        <v>17182</v>
      </c>
      <c r="AQ32" s="268">
        <v>28182</v>
      </c>
      <c r="AR32" s="260">
        <v>9757</v>
      </c>
      <c r="AS32" s="260">
        <v>7203</v>
      </c>
      <c r="AT32" s="260">
        <v>15235</v>
      </c>
      <c r="AU32" s="260">
        <v>10208</v>
      </c>
      <c r="AV32" s="260"/>
      <c r="AW32" s="260"/>
      <c r="AX32" s="260" t="s">
        <v>191</v>
      </c>
      <c r="AY32" s="260">
        <v>1000</v>
      </c>
      <c r="AZ32" s="260"/>
      <c r="BA32" s="260"/>
      <c r="BB32" s="260" t="s">
        <v>191</v>
      </c>
      <c r="BC32" s="260">
        <v>3000</v>
      </c>
      <c r="BD32" s="233"/>
      <c r="BE32" s="259"/>
      <c r="BF32" s="233" t="s">
        <v>28</v>
      </c>
      <c r="BG32" s="233"/>
      <c r="BH32" s="232" t="s">
        <v>42</v>
      </c>
      <c r="BI32" s="232" t="s">
        <v>324</v>
      </c>
      <c r="BJ32" s="243" t="s">
        <v>194</v>
      </c>
      <c r="BK32" s="236" t="s">
        <v>167</v>
      </c>
      <c r="BL32" s="306" t="s">
        <v>325</v>
      </c>
      <c r="BM32" s="246" t="s">
        <v>326</v>
      </c>
    </row>
    <row r="33" spans="1:65" s="226" customFormat="1" ht="30" customHeight="1">
      <c r="A33" s="233" t="s">
        <v>81</v>
      </c>
      <c r="B33" s="236" t="s">
        <v>305</v>
      </c>
      <c r="C33" s="246" t="s">
        <v>317</v>
      </c>
      <c r="D33" s="236" t="s">
        <v>327</v>
      </c>
      <c r="E33" s="246" t="s">
        <v>323</v>
      </c>
      <c r="F33" s="233"/>
      <c r="G33" s="260"/>
      <c r="H33" s="233" t="s">
        <v>172</v>
      </c>
      <c r="I33" s="260">
        <v>11957</v>
      </c>
      <c r="J33" s="233"/>
      <c r="K33" s="260"/>
      <c r="L33" s="233" t="s">
        <v>172</v>
      </c>
      <c r="M33" s="260">
        <v>6468</v>
      </c>
      <c r="N33" s="260">
        <v>5412</v>
      </c>
      <c r="O33" s="260"/>
      <c r="P33" s="260"/>
      <c r="Q33" s="233" t="s">
        <v>172</v>
      </c>
      <c r="R33" s="260">
        <v>10802</v>
      </c>
      <c r="S33" s="260">
        <v>11462</v>
      </c>
      <c r="T33" s="260"/>
      <c r="U33" s="260"/>
      <c r="V33" s="260" t="s">
        <v>189</v>
      </c>
      <c r="W33" s="260">
        <v>11462</v>
      </c>
      <c r="X33" s="260">
        <v>7920</v>
      </c>
      <c r="Y33" s="260"/>
      <c r="Z33" s="260"/>
      <c r="AA33" s="260" t="s">
        <v>189</v>
      </c>
      <c r="AB33" s="260">
        <f>X33</f>
        <v>7920</v>
      </c>
      <c r="AC33" s="260">
        <v>7920</v>
      </c>
      <c r="AD33" s="260"/>
      <c r="AE33" s="260"/>
      <c r="AF33" s="260" t="s">
        <v>189</v>
      </c>
      <c r="AG33" s="260">
        <f>AC33</f>
        <v>7920</v>
      </c>
      <c r="AH33" s="233" t="s">
        <v>201</v>
      </c>
      <c r="AI33" s="260">
        <v>8382</v>
      </c>
      <c r="AJ33" s="233" t="s">
        <v>203</v>
      </c>
      <c r="AK33" s="260">
        <v>7557</v>
      </c>
      <c r="AL33" s="260">
        <v>10307</v>
      </c>
      <c r="AM33" s="260">
        <v>9361</v>
      </c>
      <c r="AN33" s="260">
        <v>12727</v>
      </c>
      <c r="AO33" s="268">
        <v>17182</v>
      </c>
      <c r="AP33" s="268">
        <v>17182</v>
      </c>
      <c r="AQ33" s="268">
        <v>28182</v>
      </c>
      <c r="AR33" s="260">
        <v>9757</v>
      </c>
      <c r="AS33" s="260">
        <v>7203</v>
      </c>
      <c r="AT33" s="260">
        <v>15235</v>
      </c>
      <c r="AU33" s="260">
        <v>10208</v>
      </c>
      <c r="AV33" s="260"/>
      <c r="AW33" s="260"/>
      <c r="AX33" s="260" t="s">
        <v>191</v>
      </c>
      <c r="AY33" s="260">
        <v>1000</v>
      </c>
      <c r="AZ33" s="260"/>
      <c r="BA33" s="260"/>
      <c r="BB33" s="260" t="s">
        <v>191</v>
      </c>
      <c r="BC33" s="260">
        <v>3000</v>
      </c>
      <c r="BD33" s="233"/>
      <c r="BE33" s="259"/>
      <c r="BF33" s="233" t="s">
        <v>28</v>
      </c>
      <c r="BG33" s="233"/>
      <c r="BH33" s="232" t="s">
        <v>60</v>
      </c>
      <c r="BI33" s="232" t="s">
        <v>261</v>
      </c>
      <c r="BJ33" s="243" t="s">
        <v>194</v>
      </c>
      <c r="BK33" s="240" t="s">
        <v>236</v>
      </c>
      <c r="BL33" s="310" t="s">
        <v>337</v>
      </c>
      <c r="BM33" s="248" t="s">
        <v>338</v>
      </c>
    </row>
  </sheetData>
  <sheetProtection password="EF82" sheet="1" objects="1" scenarios="1"/>
  <autoFilter ref="A5:BI33"/>
  <mergeCells count="33">
    <mergeCell ref="S4:W4"/>
    <mergeCell ref="X4:AB4"/>
    <mergeCell ref="AC4:AG4"/>
    <mergeCell ref="AO4:AQ4"/>
    <mergeCell ref="AT4:AU4"/>
    <mergeCell ref="T5:W5"/>
    <mergeCell ref="Y5:AB5"/>
    <mergeCell ref="AD5:AG5"/>
    <mergeCell ref="BN21:BO21"/>
    <mergeCell ref="A4:A5"/>
    <mergeCell ref="B4:B5"/>
    <mergeCell ref="C4:C5"/>
    <mergeCell ref="D4:D5"/>
    <mergeCell ref="E4:E5"/>
    <mergeCell ref="F4:I5"/>
    <mergeCell ref="J4:M5"/>
    <mergeCell ref="N4:N5"/>
    <mergeCell ref="O4:R5"/>
    <mergeCell ref="AH4:AK5"/>
    <mergeCell ref="AL4:AL5"/>
    <mergeCell ref="AM4:AM5"/>
    <mergeCell ref="AN4:AN5"/>
    <mergeCell ref="AR4:AR5"/>
    <mergeCell ref="AS4:AS5"/>
    <mergeCell ref="AV4:AY5"/>
    <mergeCell ref="AZ4:BC5"/>
    <mergeCell ref="BD4:BG5"/>
    <mergeCell ref="BH4:BH5"/>
    <mergeCell ref="BI4:BI5"/>
    <mergeCell ref="BJ4:BJ5"/>
    <mergeCell ref="BK4:BK5"/>
    <mergeCell ref="BL4:BL5"/>
    <mergeCell ref="BM4:BM5"/>
  </mergeCells>
  <phoneticPr fontId="20"/>
  <hyperlinks>
    <hyperlink ref="BL16" r:id="rId1"/>
    <hyperlink ref="BL24" r:id="rId2"/>
    <hyperlink ref="BL33" r:id="rId3"/>
    <hyperlink ref="BL26" r:id="rId4"/>
  </hyperlinks>
  <printOptions horizontalCentered="1"/>
  <pageMargins left="0.25" right="0.25" top="0.75" bottom="0.75" header="0.3" footer="0.3"/>
  <pageSetup paperSize="8" scale="83" fitToWidth="0" fitToHeight="1" orientation="landscape" usePrinterDefaults="1" r:id="rId5"/>
  <headerFooter>
    <oddFooter>&amp;C&amp;P/&amp;N</oddFooter>
  </headerFooter>
  <colBreaks count="2" manualBreakCount="2">
    <brk id="18" max="65535" man="1"/>
    <brk id="37" max="32" man="1"/>
  </col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実施報告書兼請求書</vt:lpstr>
      <vt:lpstr>委託料一覧</vt:lpstr>
    </vt:vector>
  </TitlesOfParts>
  <Manager>池田聡彦</Manager>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池田聡彦</dc:creator>
  <cp:lastModifiedBy>山田　実夢</cp:lastModifiedBy>
  <cp:lastPrinted>2020-09-22T04:52:38Z</cp:lastPrinted>
  <dcterms:created xsi:type="dcterms:W3CDTF">2015-02-17T08:17:54Z</dcterms:created>
  <dcterms:modified xsi:type="dcterms:W3CDTF">2023-09-28T09:08:14Z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2023-09-28T09:08:14Z</vt:filetime>
  </property>
</Properties>
</file>